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ebusa.MOSESKOTANE\Desktop\THEMBI APRIL2018\REPORTS NATIONAL TREASURY JUNE 2021\ADJUSTMENT BUDGET 2020-2021 JANUARY 2021\NT\NW375 ADJUSTED BUDGET\"/>
    </mc:Choice>
  </mc:AlternateContent>
  <bookViews>
    <workbookView xWindow="0" yWindow="0" windowWidth="20490" windowHeight="7455"/>
  </bookViews>
  <sheets>
    <sheet name="Adjusted Budget 2020-2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4" i="4" l="1"/>
  <c r="T334" i="4"/>
  <c r="T331" i="4"/>
  <c r="R331" i="4"/>
  <c r="T277" i="4"/>
  <c r="R277" i="4"/>
  <c r="R334" i="4" s="1"/>
  <c r="T250" i="4"/>
  <c r="R250" i="4"/>
  <c r="P250" i="4"/>
  <c r="T219" i="4"/>
  <c r="R219" i="4"/>
  <c r="P219" i="4"/>
  <c r="R144" i="4"/>
  <c r="T144" i="4"/>
  <c r="R120" i="4"/>
  <c r="T350" i="4"/>
  <c r="R350" i="4"/>
  <c r="R348" i="4" l="1"/>
  <c r="R275" i="4"/>
  <c r="R274" i="4"/>
  <c r="R273" i="4"/>
  <c r="R272" i="4"/>
  <c r="R271" i="4"/>
  <c r="R270" i="4"/>
  <c r="S361" i="4" l="1"/>
  <c r="Q361" i="4"/>
  <c r="O361" i="4"/>
  <c r="L361" i="4"/>
  <c r="T353" i="4"/>
  <c r="T361" i="4" s="1"/>
  <c r="O353" i="4"/>
  <c r="P352" i="4"/>
  <c r="H351" i="4"/>
  <c r="K351" i="4" s="1"/>
  <c r="K350" i="4"/>
  <c r="G350" i="4" s="1"/>
  <c r="H350" i="4"/>
  <c r="S331" i="4"/>
  <c r="Q331" i="4"/>
  <c r="P331" i="4"/>
  <c r="H331" i="4"/>
  <c r="G331" i="4"/>
  <c r="T329" i="4"/>
  <c r="R322" i="4"/>
  <c r="R320" i="4"/>
  <c r="P315" i="4"/>
  <c r="R314" i="4"/>
  <c r="O314" i="4"/>
  <c r="R312" i="4"/>
  <c r="O312" i="4"/>
  <c r="R309" i="4"/>
  <c r="O309" i="4"/>
  <c r="R308" i="4"/>
  <c r="R307" i="4"/>
  <c r="P307" i="4"/>
  <c r="O307" i="4"/>
  <c r="K305" i="4"/>
  <c r="K304" i="4"/>
  <c r="K303" i="4"/>
  <c r="K302" i="4"/>
  <c r="K301" i="4"/>
  <c r="K300" i="4"/>
  <c r="K298" i="4"/>
  <c r="P297" i="4"/>
  <c r="O297" i="4"/>
  <c r="O331" i="4" s="1"/>
  <c r="K297" i="4"/>
  <c r="P296" i="4"/>
  <c r="P350" i="4" s="1"/>
  <c r="P353" i="4" s="1"/>
  <c r="P361" i="4" s="1"/>
  <c r="K296" i="4"/>
  <c r="K295" i="4"/>
  <c r="K294" i="4"/>
  <c r="K293" i="4"/>
  <c r="K331" i="4" s="1"/>
  <c r="K292" i="4"/>
  <c r="N277" i="4"/>
  <c r="M277" i="4"/>
  <c r="L277" i="4"/>
  <c r="J277" i="4"/>
  <c r="I277" i="4"/>
  <c r="H277" i="4"/>
  <c r="G277" i="4"/>
  <c r="P269" i="4"/>
  <c r="O269" i="4"/>
  <c r="K269" i="4"/>
  <c r="P268" i="4"/>
  <c r="K268" i="4"/>
  <c r="P267" i="4"/>
  <c r="K267" i="4"/>
  <c r="P266" i="4"/>
  <c r="K266" i="4"/>
  <c r="P265" i="4"/>
  <c r="K265" i="4"/>
  <c r="K264" i="4"/>
  <c r="H262" i="4"/>
  <c r="K260" i="4"/>
  <c r="O259" i="4"/>
  <c r="K259" i="4"/>
  <c r="O258" i="4"/>
  <c r="O277" i="4" s="1"/>
  <c r="K258" i="4"/>
  <c r="P257" i="4"/>
  <c r="K257" i="4"/>
  <c r="K256" i="4"/>
  <c r="K277" i="4" s="1"/>
  <c r="S250" i="4"/>
  <c r="S333" i="4" s="1"/>
  <c r="Q250" i="4"/>
  <c r="J250" i="4"/>
  <c r="I250" i="4"/>
  <c r="G250" i="4"/>
  <c r="R248" i="4"/>
  <c r="R247" i="4"/>
  <c r="R246" i="4"/>
  <c r="P245" i="4"/>
  <c r="P244" i="4"/>
  <c r="P243" i="4"/>
  <c r="K241" i="4"/>
  <c r="K240" i="4"/>
  <c r="K239" i="4"/>
  <c r="K238" i="4"/>
  <c r="K237" i="4"/>
  <c r="P236" i="4"/>
  <c r="K236" i="4"/>
  <c r="K235" i="4"/>
  <c r="H235" i="4"/>
  <c r="K234" i="4"/>
  <c r="P233" i="4"/>
  <c r="K233" i="4"/>
  <c r="H233" i="4"/>
  <c r="P232" i="4"/>
  <c r="O232" i="4"/>
  <c r="O250" i="4" s="1"/>
  <c r="K232" i="4"/>
  <c r="K250" i="4" s="1"/>
  <c r="H232" i="4"/>
  <c r="H250" i="4" s="1"/>
  <c r="T333" i="4"/>
  <c r="Q219" i="4"/>
  <c r="Q333" i="4" s="1"/>
  <c r="O219" i="4"/>
  <c r="N219" i="4"/>
  <c r="M219" i="4"/>
  <c r="L219" i="4"/>
  <c r="J219" i="4"/>
  <c r="I219" i="4"/>
  <c r="G219" i="4"/>
  <c r="P205" i="4"/>
  <c r="K199" i="4"/>
  <c r="K198" i="4"/>
  <c r="K197" i="4"/>
  <c r="K196" i="4"/>
  <c r="K195" i="4"/>
  <c r="K194" i="4"/>
  <c r="K192" i="4"/>
  <c r="H192" i="4"/>
  <c r="K191" i="4"/>
  <c r="H191" i="4"/>
  <c r="K190" i="4"/>
  <c r="H190" i="4"/>
  <c r="K189" i="4"/>
  <c r="H189" i="4"/>
  <c r="K188" i="4"/>
  <c r="H188" i="4"/>
  <c r="K187" i="4"/>
  <c r="H187" i="4"/>
  <c r="K186" i="4"/>
  <c r="H186" i="4"/>
  <c r="K185" i="4"/>
  <c r="H185" i="4"/>
  <c r="K184" i="4"/>
  <c r="H184" i="4"/>
  <c r="K183" i="4"/>
  <c r="H183" i="4"/>
  <c r="K182" i="4"/>
  <c r="K219" i="4" s="1"/>
  <c r="H182" i="4"/>
  <c r="H219" i="4" s="1"/>
  <c r="T152" i="4"/>
  <c r="Q152" i="4"/>
  <c r="P152" i="4"/>
  <c r="O152" i="4"/>
  <c r="K152" i="4"/>
  <c r="H152" i="4"/>
  <c r="G152" i="4"/>
  <c r="R150" i="4"/>
  <c r="R152" i="4" s="1"/>
  <c r="P144" i="4"/>
  <c r="O144" i="4"/>
  <c r="P141" i="4"/>
  <c r="T120" i="4"/>
  <c r="T166" i="4" s="1"/>
  <c r="S120" i="4"/>
  <c r="R166" i="4"/>
  <c r="T111" i="4"/>
  <c r="R111" i="4"/>
  <c r="P111" i="4"/>
  <c r="O111" i="4"/>
  <c r="H111" i="4"/>
  <c r="G111" i="4"/>
  <c r="K108" i="4"/>
  <c r="K107" i="4"/>
  <c r="K106" i="4"/>
  <c r="K105" i="4"/>
  <c r="K104" i="4"/>
  <c r="K111" i="4" s="1"/>
  <c r="P100" i="4"/>
  <c r="P120" i="4" s="1"/>
  <c r="P166" i="4" s="1"/>
  <c r="O100" i="4"/>
  <c r="O120" i="4" s="1"/>
  <c r="O166" i="4" s="1"/>
  <c r="H100" i="4"/>
  <c r="G100" i="4"/>
  <c r="K97" i="4"/>
  <c r="K100" i="4" s="1"/>
  <c r="T77" i="4"/>
  <c r="S77" i="4"/>
  <c r="R77" i="4"/>
  <c r="P77" i="4"/>
  <c r="O77" i="4"/>
  <c r="R333" i="4" l="1"/>
  <c r="R353" i="4"/>
  <c r="R361" i="4" s="1"/>
  <c r="O333" i="4"/>
  <c r="K333" i="4"/>
  <c r="G333" i="4" s="1"/>
  <c r="H348" i="4"/>
  <c r="K348" i="4" s="1"/>
  <c r="K353" i="4" s="1"/>
  <c r="P258" i="4"/>
  <c r="P277" i="4" s="1"/>
  <c r="P334" i="4" s="1"/>
  <c r="P333" i="4" l="1"/>
  <c r="G353" i="4"/>
  <c r="K361" i="4"/>
  <c r="G361" i="4" s="1"/>
</calcChain>
</file>

<file path=xl/comments1.xml><?xml version="1.0" encoding="utf-8"?>
<comments xmlns="http://schemas.openxmlformats.org/spreadsheetml/2006/main">
  <authors>
    <author>Thembi Lebusa</author>
  </authors>
  <commentList>
    <comment ref="C194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NAMES</t>
        </r>
      </text>
    </comment>
    <comment ref="A236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it was zero on the budget</t>
        </r>
      </text>
    </comment>
    <comment ref="C241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Changed to Pella Internal Roads </t>
        </r>
      </text>
    </comment>
    <comment ref="C301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</t>
        </r>
      </text>
    </comment>
    <comment ref="C302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</t>
        </r>
      </text>
    </comment>
    <comment ref="C304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CHANGE NAME</t>
        </r>
      </text>
    </comment>
    <comment ref="C324" authorId="0" shapeId="0">
      <text>
        <r>
          <rPr>
            <b/>
            <sz val="9"/>
            <color indexed="81"/>
            <rFont val="Tahoma"/>
            <family val="2"/>
          </rPr>
          <t>Thembi Lebusa: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<sst xmlns="http://schemas.openxmlformats.org/spreadsheetml/2006/main" count="1055" uniqueCount="434">
  <si>
    <t>MUNICIPAL INFRASTRUCTURE GRANT (MIG)</t>
  </si>
  <si>
    <t>Upgrading of the Mogwase Sports Park</t>
  </si>
  <si>
    <t>Lerome (Thabeng Section) Water Supply</t>
  </si>
  <si>
    <t>Sandfontein Water Supply</t>
  </si>
  <si>
    <t>Maologane Water Supply</t>
  </si>
  <si>
    <t>MOSES KOTANE LOCAL MUNICIPALITY NW 375</t>
  </si>
  <si>
    <t xml:space="preserve"> CAPITAL BUDGET 2019/2020</t>
  </si>
  <si>
    <t>Sources of Finance</t>
  </si>
  <si>
    <t>Type of Asset</t>
  </si>
  <si>
    <t xml:space="preserve">Project </t>
  </si>
  <si>
    <t>Capital</t>
  </si>
  <si>
    <t xml:space="preserve">Adjusted </t>
  </si>
  <si>
    <t>External</t>
  </si>
  <si>
    <t>Operating</t>
  </si>
  <si>
    <t>Internal</t>
  </si>
  <si>
    <t>Insti-</t>
  </si>
  <si>
    <t>Budget</t>
  </si>
  <si>
    <t>Loans</t>
  </si>
  <si>
    <t>Description</t>
  </si>
  <si>
    <t>Ward</t>
  </si>
  <si>
    <t>Vilages</t>
  </si>
  <si>
    <t>GPS Coordination</t>
  </si>
  <si>
    <t>2019/2020</t>
  </si>
  <si>
    <t>Income</t>
  </si>
  <si>
    <t>Grants</t>
  </si>
  <si>
    <t>Funding</t>
  </si>
  <si>
    <t>tution</t>
  </si>
  <si>
    <t>2020/2021</t>
  </si>
  <si>
    <t>2021/2022</t>
  </si>
  <si>
    <t>2022/2023</t>
  </si>
  <si>
    <t>BUDGET AND TREASURY OFFICE</t>
  </si>
  <si>
    <t>REVENUE</t>
  </si>
  <si>
    <t>GFS Function 33 15</t>
  </si>
  <si>
    <t>OFFICE FURNITURE AND EQUIPMENT</t>
  </si>
  <si>
    <t>33156460020CCC57ZZHO</t>
  </si>
  <si>
    <t>Office Equipment</t>
  </si>
  <si>
    <t>Mogwase</t>
  </si>
  <si>
    <t>25⁰16'17"S, 27⁰14'7"E</t>
  </si>
  <si>
    <t>OWN</t>
  </si>
  <si>
    <t>Sub Total GFS Function 1300</t>
  </si>
  <si>
    <t>TOTAL VOTE 3</t>
  </si>
  <si>
    <t>CORPORATE SERVICES</t>
  </si>
  <si>
    <t>CORPORATE SERVICES ADMINISTRATION</t>
  </si>
  <si>
    <t>GFS Function 34 05</t>
  </si>
  <si>
    <t>34056460020CCC22ZZHO</t>
  </si>
  <si>
    <t xml:space="preserve">Furniture </t>
  </si>
  <si>
    <t>PLANT AND EQUIPMENT</t>
  </si>
  <si>
    <t>34056456020CCC10ZZ27</t>
  </si>
  <si>
    <t>Carpet , Floor and Vacuum Cleaners</t>
  </si>
  <si>
    <t>Sub Total GFS Function 34 05</t>
  </si>
  <si>
    <t>INFORMATION TECHNOLOGY</t>
  </si>
  <si>
    <t>GFS Function 34 20</t>
  </si>
  <si>
    <t>34206151420CCD12ZZHO</t>
  </si>
  <si>
    <t>ICT Equipment</t>
  </si>
  <si>
    <t xml:space="preserve">Sub Total GFS Function 34 20 </t>
  </si>
  <si>
    <t>FLEET MANAGEMENT</t>
  </si>
  <si>
    <t>Vehicles</t>
  </si>
  <si>
    <t>Sub Total GFS Function 34 25</t>
  </si>
  <si>
    <t>TOTAL VOTE 4</t>
  </si>
  <si>
    <t>VOTE 5</t>
  </si>
  <si>
    <t>COMMUNITY SERVICES</t>
  </si>
  <si>
    <t>CEMETERIES</t>
  </si>
  <si>
    <t>Fencing Villages</t>
  </si>
  <si>
    <t>Sub Total</t>
  </si>
  <si>
    <t>MUNICIPAL BUILDINGS</t>
  </si>
  <si>
    <t>New</t>
  </si>
  <si>
    <t xml:space="preserve">Building of Traders stalls in Mogwase </t>
  </si>
  <si>
    <t>MIG</t>
  </si>
  <si>
    <t>SEIF</t>
  </si>
  <si>
    <t>Community Halls</t>
  </si>
  <si>
    <t>34256473520FBC15ZZ12</t>
  </si>
  <si>
    <t xml:space="preserve">Ramakokastad </t>
  </si>
  <si>
    <t>Ramakokastad</t>
  </si>
  <si>
    <t>25⁰10'01"S, 27⁰26'18"E</t>
  </si>
  <si>
    <t>34256473520FBC18ZZ03</t>
  </si>
  <si>
    <t xml:space="preserve">Siga </t>
  </si>
  <si>
    <t>Siga</t>
  </si>
  <si>
    <t>25°11’29’’S, 26°35’52’’ E</t>
  </si>
  <si>
    <t>Seolong Community Hall</t>
  </si>
  <si>
    <t>Seolong</t>
  </si>
  <si>
    <t>Makoshong Community Hall</t>
  </si>
  <si>
    <t xml:space="preserve">Makoshong </t>
  </si>
  <si>
    <t>Mokgalwaneneg Community Hall</t>
  </si>
  <si>
    <t>Mokgalwaneng</t>
  </si>
  <si>
    <t>34256473520FBE06ZZ12</t>
  </si>
  <si>
    <t xml:space="preserve">Phola Park Community Hall </t>
  </si>
  <si>
    <t>Phola</t>
  </si>
  <si>
    <t>25°24’19’’S, 28°44’45’’ E</t>
  </si>
  <si>
    <t>Furniture Community Halls (Chairs and Tables)</t>
  </si>
  <si>
    <t>Sub Total GFS Function 1020 25</t>
  </si>
  <si>
    <t>GFS Function 1020 30</t>
  </si>
  <si>
    <t>PARKS AND RECREATION</t>
  </si>
  <si>
    <t>MACHINERY AND EQUIPMENT</t>
  </si>
  <si>
    <t>35306456020CCC03ZZHO</t>
  </si>
  <si>
    <t>Brush Cutters and Lawn Mowers</t>
  </si>
  <si>
    <t>SPORT FACILITIES</t>
  </si>
  <si>
    <t>35306473520FBE41ZZ12</t>
  </si>
  <si>
    <t>Upgrading</t>
  </si>
  <si>
    <t>Sub Total GFS Function 1020 30</t>
  </si>
  <si>
    <t>GFS Function 1020 35</t>
  </si>
  <si>
    <t>REFUSE</t>
  </si>
  <si>
    <t>35356450020FBD87ZZ19</t>
  </si>
  <si>
    <t>Rehabilitation and Upgrading</t>
  </si>
  <si>
    <t xml:space="preserve">Madikwe Land Fill Rehabilitation </t>
  </si>
  <si>
    <t>Madikwe</t>
  </si>
  <si>
    <t>Sub Total GFS Function 1020 35</t>
  </si>
  <si>
    <t>GFS Function 1020 40</t>
  </si>
  <si>
    <t>SAFETY AND SECURITY</t>
  </si>
  <si>
    <t>Sub Total GFS Function 1020 40</t>
  </si>
  <si>
    <t>TOTAL VOTE 5</t>
  </si>
  <si>
    <t>VOTE 7</t>
  </si>
  <si>
    <t>STREETLIGHTING</t>
  </si>
  <si>
    <t>GFS Function 1030 20</t>
  </si>
  <si>
    <t>37206433020FBD20ZZ01</t>
  </si>
  <si>
    <t>Goede Hoop</t>
  </si>
  <si>
    <t>25⁰04'00"S, 26⁰49'00"E</t>
  </si>
  <si>
    <t>37206433020FBD21ZZ02</t>
  </si>
  <si>
    <t>Sesobe</t>
  </si>
  <si>
    <t>25⁰14'30"S, 26⁰39'57"E</t>
  </si>
  <si>
    <t>37206433020FBD24ZZ06</t>
  </si>
  <si>
    <t xml:space="preserve">Motlhabe </t>
  </si>
  <si>
    <t>25⁰09'00"S, 26⁰43'02"E</t>
  </si>
  <si>
    <t>37206433020FBC97ZZ32</t>
  </si>
  <si>
    <t>Moruleng</t>
  </si>
  <si>
    <t>25⁰19'45"S, 26⁰55'17"E</t>
  </si>
  <si>
    <t>37206433020FBD15ZZ17</t>
  </si>
  <si>
    <t xml:space="preserve">Lerome </t>
  </si>
  <si>
    <t>25⁰20'31"S, 26⁰58'00"E</t>
  </si>
  <si>
    <t>37206433020FBC98ZZ09</t>
  </si>
  <si>
    <t>25⁰18'03"S, 27⁰12'00"E</t>
  </si>
  <si>
    <t>37206433020FBD16ZZ11</t>
  </si>
  <si>
    <t>Phadi</t>
  </si>
  <si>
    <t>25°12’28.02’’S, 27°13’57.84’’ E</t>
  </si>
  <si>
    <t>Greater Ledig (Wards 14,28,30)</t>
  </si>
  <si>
    <t>14,28,30</t>
  </si>
  <si>
    <t>Greater Ledig</t>
  </si>
  <si>
    <t>25⁰03'31"S, 26⁰51'44"E</t>
  </si>
  <si>
    <t>37206433020FBD18ZZ01</t>
  </si>
  <si>
    <t>Losmytjerrie</t>
  </si>
  <si>
    <t>25⁰00'30"S, 26⁰28'50"E</t>
  </si>
  <si>
    <t>37206433020FBD19ZZ12</t>
  </si>
  <si>
    <t>Ramokokastad</t>
  </si>
  <si>
    <t>25⁰04'27"S, 26⁰56'52"E</t>
  </si>
  <si>
    <t>37206433020FBD13ZZ02</t>
  </si>
  <si>
    <t>Khayakulu</t>
  </si>
  <si>
    <t>Rolled Over Project</t>
  </si>
  <si>
    <t>37206433020FBE20ZZ15</t>
  </si>
  <si>
    <t>Goedehoop</t>
  </si>
  <si>
    <t>37206433020FBE21ZZ15</t>
  </si>
  <si>
    <t>37206433020FBE22ZZ15</t>
  </si>
  <si>
    <t>Kraakhoek</t>
  </si>
  <si>
    <t>37206433020FBE23ZZ15</t>
  </si>
  <si>
    <t>37206433020FBE24ZZ15</t>
  </si>
  <si>
    <t>37206433020FBE25ZZ15</t>
  </si>
  <si>
    <t>Lerome</t>
  </si>
  <si>
    <t>37206433020FBE18ZZ15</t>
  </si>
  <si>
    <t>Mmopyane</t>
  </si>
  <si>
    <t>24°56’52’’S, 27°04’13’’ E</t>
  </si>
  <si>
    <t>37206433020FBE19ZZ15</t>
  </si>
  <si>
    <t>Ramotlhajwe</t>
  </si>
  <si>
    <t>25°03’54’’S, 26°24’36’’ E</t>
  </si>
  <si>
    <t>David Katnagel</t>
  </si>
  <si>
    <t>25°6’43’’S, 26°31’29’’ E</t>
  </si>
  <si>
    <t>Pitsedisulejang</t>
  </si>
  <si>
    <t>25°01’03’’S, 26°29’24’’ E</t>
  </si>
  <si>
    <t>Letlhakeng</t>
  </si>
  <si>
    <t>24.09442,25.02977</t>
  </si>
  <si>
    <t>Ramokgolela</t>
  </si>
  <si>
    <t>25⁰03'14"S, 26⁰25'07"E</t>
  </si>
  <si>
    <t>Bapong</t>
  </si>
  <si>
    <t>25⁰18'2,95"S, 26⁰51'26,04"E</t>
  </si>
  <si>
    <t>Pella</t>
  </si>
  <si>
    <t>25⁰22'59"S, 26⁰29'18"E</t>
  </si>
  <si>
    <t>37206433020FBC89ZZ13</t>
  </si>
  <si>
    <t>Mabela- a Podi</t>
  </si>
  <si>
    <t>37206433020FBE03ZZ15</t>
  </si>
  <si>
    <t>Maskoloane</t>
  </si>
  <si>
    <t>25⁰11'03"S, 26⁰38'30"E</t>
  </si>
  <si>
    <t>37206433020FBE17ZZ15</t>
  </si>
  <si>
    <t>37206433020FBE04ZZ15</t>
  </si>
  <si>
    <t>Molatedi</t>
  </si>
  <si>
    <t>24°51’14’’S, 26°29’43’’ E</t>
  </si>
  <si>
    <t>Dwarsberg - Dinokana</t>
  </si>
  <si>
    <t>Dwarberg - Dinokana</t>
  </si>
  <si>
    <t>Uitkyk</t>
  </si>
  <si>
    <t>Molorwe</t>
  </si>
  <si>
    <t>Mapaputle</t>
  </si>
  <si>
    <t>Ntswana-le-Metsing</t>
  </si>
  <si>
    <t>Lerome (Mositwane East Extention)</t>
  </si>
  <si>
    <t>Lerome (Mositwane East extention)</t>
  </si>
  <si>
    <t>Sub Total GFS Function 1030 20</t>
  </si>
  <si>
    <t>GFS Function 1030 15</t>
  </si>
  <si>
    <t>ROADS AND STORMWATER</t>
  </si>
  <si>
    <t>37156472420FBD29ZZ32</t>
  </si>
  <si>
    <t>Mabodisa</t>
  </si>
  <si>
    <t>25⁰12'10"S, 27⁰13'53"E</t>
  </si>
  <si>
    <t>37156472420FBD27ZZ11</t>
  </si>
  <si>
    <t>Mmorogong</t>
  </si>
  <si>
    <t>25⁰07'17"S, 27⁰22'56"E</t>
  </si>
  <si>
    <t>37156472420FBD26ZZ02</t>
  </si>
  <si>
    <t>Montsana</t>
  </si>
  <si>
    <t>25⁰05'57"S, 26⁰34'50"E</t>
  </si>
  <si>
    <t>37156472420FBD28ZZ17</t>
  </si>
  <si>
    <t>Leruleng</t>
  </si>
  <si>
    <t>37156472420FBE11ZZ32</t>
  </si>
  <si>
    <t xml:space="preserve">Moruleng Stormwater Management  </t>
  </si>
  <si>
    <t>9/32</t>
  </si>
  <si>
    <t xml:space="preserve"> Moruleng </t>
  </si>
  <si>
    <t>26°11’13’’S, 27°12’04’’ E</t>
  </si>
  <si>
    <t>Rolled Over Projects</t>
  </si>
  <si>
    <t>37156472420FBC42ZZ17</t>
  </si>
  <si>
    <t>Greater Ledig Storm Water Manage</t>
  </si>
  <si>
    <t>Ledig</t>
  </si>
  <si>
    <t>37156472420FBC44ZZ03</t>
  </si>
  <si>
    <t>Manamela Internal Roads</t>
  </si>
  <si>
    <t>Manamela</t>
  </si>
  <si>
    <t>37156472420FBC55ZZ01</t>
  </si>
  <si>
    <t>Obakeng Internal Roads</t>
  </si>
  <si>
    <t>Obakeng</t>
  </si>
  <si>
    <t>37156472420FBC55ZZ17</t>
  </si>
  <si>
    <t>Legkraal Internal Roads</t>
  </si>
  <si>
    <t>37156472420FBD67ZZ32</t>
  </si>
  <si>
    <t>Tlokweng internal Roads</t>
  </si>
  <si>
    <t xml:space="preserve">Tlokweng </t>
  </si>
  <si>
    <t>25°29’56.25’’S, 26°37’26.66’’ E</t>
  </si>
  <si>
    <t>37156472420FBE07ZZ32</t>
  </si>
  <si>
    <t>Madikwe Internal Roads (China Section)</t>
  </si>
  <si>
    <t>25°21’47’’S, 26°31’51’’ E</t>
  </si>
  <si>
    <t>37156472420FBE12ZZ32</t>
  </si>
  <si>
    <t>Vrede Stormwater management</t>
  </si>
  <si>
    <t>Vrede</t>
  </si>
  <si>
    <t>25°46’16’’S, 26°55’80’’ E</t>
  </si>
  <si>
    <t>37156472420FBD69ZZ32</t>
  </si>
  <si>
    <t>Ramoga Internal Roads</t>
  </si>
  <si>
    <t>Ramoga</t>
  </si>
  <si>
    <t>25°09’45’’S, 27°08’28’’ E</t>
  </si>
  <si>
    <t>37156472420FBE13ZZ32</t>
  </si>
  <si>
    <t>Lerome (Thabeng Section) Internal Roads</t>
  </si>
  <si>
    <t xml:space="preserve">25°12’28.07’’S, 27°13’59.31’’ </t>
  </si>
  <si>
    <t>37156472420FBE14ZZ32</t>
  </si>
  <si>
    <t>Phalane Internal Roads</t>
  </si>
  <si>
    <t>Phalane</t>
  </si>
  <si>
    <t>25°16’58’’S, 26°51’13’’ E</t>
  </si>
  <si>
    <t>37156472420FBE15ZZ32</t>
  </si>
  <si>
    <t>Mononono Internal Roads</t>
  </si>
  <si>
    <t>Mononono</t>
  </si>
  <si>
    <t>25°02’44’’S, 27°11’19’’ E</t>
  </si>
  <si>
    <t xml:space="preserve">Pella </t>
  </si>
  <si>
    <t>Sub Total GFS Function 1030 15</t>
  </si>
  <si>
    <t>GFS Function 1035 00</t>
  </si>
  <si>
    <t>SANITATION</t>
  </si>
  <si>
    <t>38156449420FBD57ZZ02</t>
  </si>
  <si>
    <t>24°58’51’’S, 26°33’39’’ E</t>
  </si>
  <si>
    <t>Disake</t>
  </si>
  <si>
    <t>25°03’43’’S, 26°33’42’’ E</t>
  </si>
  <si>
    <t>38156449420FBE02ZZ02</t>
  </si>
  <si>
    <t>Makgope</t>
  </si>
  <si>
    <t>25°05’57’’S, 26°34’50’’ E</t>
  </si>
  <si>
    <t>38156449420FBD60ZZ02</t>
  </si>
  <si>
    <t>25°09’00’’S, 26°43’02’’ E</t>
  </si>
  <si>
    <t>38156449420FBD56ZZ02</t>
  </si>
  <si>
    <t>Bojating</t>
  </si>
  <si>
    <t>25°11’03’’S, 26°38’30’’ E</t>
  </si>
  <si>
    <t>38156449420CCD61ZZ03</t>
  </si>
  <si>
    <t>Makoshong</t>
  </si>
  <si>
    <t>38156449420FBD62ZZ02</t>
  </si>
  <si>
    <t>Losmytjerry</t>
  </si>
  <si>
    <t>38156449420FBD63ZZ02</t>
  </si>
  <si>
    <t>Mabela a Podi</t>
  </si>
  <si>
    <t>25°17’48’’S, 26°38’22’’ E</t>
  </si>
  <si>
    <t>38156449420FBE05ZZ02</t>
  </si>
  <si>
    <t>Mabeskraal</t>
  </si>
  <si>
    <t>38156449420FBE05ZZ24</t>
  </si>
  <si>
    <t>25°07’54’’S, 26°39’21’’ E</t>
  </si>
  <si>
    <t>38156449420FBD65ZZ02</t>
  </si>
  <si>
    <t>Sandfontein</t>
  </si>
  <si>
    <t>24°55’09’’S, 27°04’33’’ E</t>
  </si>
  <si>
    <t>38156449420FBE01ZZ02</t>
  </si>
  <si>
    <t xml:space="preserve">Lerome (Thabeng Section) </t>
  </si>
  <si>
    <t>38156449420FBE10ZZ02</t>
  </si>
  <si>
    <t>Segakwaneng</t>
  </si>
  <si>
    <t>25°20’63’’S, 27°20’57’’ E</t>
  </si>
  <si>
    <t>38156449420FBC64ZZ02</t>
  </si>
  <si>
    <t xml:space="preserve">Davitkatnagel </t>
  </si>
  <si>
    <t>38156449420FBC68ZZ17</t>
  </si>
  <si>
    <t xml:space="preserve">Leruleng </t>
  </si>
  <si>
    <t>38156449420FBD61ZZ24</t>
  </si>
  <si>
    <t>24/26</t>
  </si>
  <si>
    <t>38156449420FBC78ZZ26</t>
  </si>
  <si>
    <t xml:space="preserve">Phalane </t>
  </si>
  <si>
    <t>24°15’53’’S, 26°50’41’’ E</t>
  </si>
  <si>
    <t>38156449420FBC70ZZ22</t>
  </si>
  <si>
    <t xml:space="preserve">Managotheng </t>
  </si>
  <si>
    <t>22/31</t>
  </si>
  <si>
    <t>25°07’37’’S, 27°11’36’’ E</t>
  </si>
  <si>
    <t>Sub Total GFS Function 10 38 15</t>
  </si>
  <si>
    <t>GFS Function 1039 00</t>
  </si>
  <si>
    <t>WATER</t>
  </si>
  <si>
    <t>WATER PROJECTS</t>
  </si>
  <si>
    <t>39056446020FBC50ZZ17</t>
  </si>
  <si>
    <t>39056446020FBC59ZZ18</t>
  </si>
  <si>
    <t>39056446020WSE08ZZ20</t>
  </si>
  <si>
    <t>Tlokweng Water Supply - Phase I</t>
  </si>
  <si>
    <t>WSIG</t>
  </si>
  <si>
    <t>39056446020WSE09ZZ20</t>
  </si>
  <si>
    <t>Tlokweng Water Supply - Phase II</t>
  </si>
  <si>
    <t>39056445020WSD42ZZ17</t>
  </si>
  <si>
    <t>Bulk Water Augmentation</t>
  </si>
  <si>
    <t>39056445020WSD86ZZ29</t>
  </si>
  <si>
    <t>39056445020WSE26ZZ29</t>
  </si>
  <si>
    <t>Ledig Bulk Water Supply</t>
  </si>
  <si>
    <t>14/28/30</t>
  </si>
  <si>
    <t>25⁰35'98"S, 27⁰05'34"E</t>
  </si>
  <si>
    <t>39056446020FBE38ZZ20</t>
  </si>
  <si>
    <t>Drought Relieve</t>
  </si>
  <si>
    <t>Lerome (Mositwane) Water Supply</t>
  </si>
  <si>
    <t>39056446020FBC36ZZ01</t>
  </si>
  <si>
    <t>Welverdinet Water Supply</t>
  </si>
  <si>
    <t>Welverdient</t>
  </si>
  <si>
    <t>39056446020FBE31ZZ20</t>
  </si>
  <si>
    <t>Khayakhulu Water Supply</t>
  </si>
  <si>
    <t>Khayakhulu</t>
  </si>
  <si>
    <t>39056446020FBC28ZZ04</t>
  </si>
  <si>
    <t>Khayakhulu Ground Water Opitimzation</t>
  </si>
  <si>
    <t>24⁰56'01,41"S, 26⁰43'02,55"E</t>
  </si>
  <si>
    <t>Upgrading of Mogwase Sewer Plant</t>
  </si>
  <si>
    <t xml:space="preserve">Mogwase </t>
  </si>
  <si>
    <t>39056446020FBD76ZZ20</t>
  </si>
  <si>
    <t>25⁰18'19"S, 27⁰26'94"E</t>
  </si>
  <si>
    <t>39056446020FBD77ZZ20</t>
  </si>
  <si>
    <t>Maologane</t>
  </si>
  <si>
    <t>25⁰27'50"S, 26⁰94'28"E</t>
  </si>
  <si>
    <t xml:space="preserve">Ledig Water Supply (Vaious sections) </t>
  </si>
  <si>
    <t>39056445020WSE28ZZ29</t>
  </si>
  <si>
    <t>25⁰70'07"S, 27⁰84'69"E</t>
  </si>
  <si>
    <t>39056446020WSE32ZZ20</t>
  </si>
  <si>
    <t>Letlhakane / Kortkloof Water Supply</t>
  </si>
  <si>
    <t>Letlhakane</t>
  </si>
  <si>
    <t>25⁰15'01"S, 26⁰71'74"E</t>
  </si>
  <si>
    <t>39056446020WSE33ZZ20</t>
  </si>
  <si>
    <t>Pitsedisulejang Water Supply</t>
  </si>
  <si>
    <t>25⁰01'75"S, 26⁰49'01"E</t>
  </si>
  <si>
    <t>39056446020WSE34ZZ20</t>
  </si>
  <si>
    <t>Lossmytjerrie - Goedehoop Water Supply</t>
  </si>
  <si>
    <t>Lossmytjerrie</t>
  </si>
  <si>
    <t>28⁰10'65"S, 30⁰82'05"E</t>
  </si>
  <si>
    <t>39056446020WSE35ZZ20</t>
  </si>
  <si>
    <t xml:space="preserve">Letsheng Section Water supply </t>
  </si>
  <si>
    <t>Letsheng</t>
  </si>
  <si>
    <t>25⁰40'22"S, 27⁰14'32"E</t>
  </si>
  <si>
    <t>39056446020WSE36ZZ20</t>
  </si>
  <si>
    <t>Makoshong Water Supply</t>
  </si>
  <si>
    <t>25⁰24'30"S, 26⁰84'22"E</t>
  </si>
  <si>
    <t>39056446020WSE37ZZ20</t>
  </si>
  <si>
    <t>Tweelaagte Water Supply</t>
  </si>
  <si>
    <t>Tweelaagte</t>
  </si>
  <si>
    <t>25⁰61'29"S, 27⁰32'72"E</t>
  </si>
  <si>
    <t>39056446020FBE30ZZ20</t>
  </si>
  <si>
    <t>Segakwaneng Water Supply</t>
  </si>
  <si>
    <t>Maeraneng Water Supply</t>
  </si>
  <si>
    <t>Maeraneng</t>
  </si>
  <si>
    <t>25°42’49’’S, 27°40’29’’ E</t>
  </si>
  <si>
    <t>39056446020FBE29ZZ17</t>
  </si>
  <si>
    <t>Lerome Water Supply</t>
  </si>
  <si>
    <t>39056446020WSE40ZZ20</t>
  </si>
  <si>
    <t>Manamakgoteng Reservior and Bulk Water Supply</t>
  </si>
  <si>
    <t>Manamakgoteng</t>
  </si>
  <si>
    <t>25⁰12'70"S, 27⁰19'33"E</t>
  </si>
  <si>
    <t>39056445020WSE27ZZ29</t>
  </si>
  <si>
    <t>Mahobieskraal Bulk Water Supply  and Reticulation</t>
  </si>
  <si>
    <t>Mahobieskraal</t>
  </si>
  <si>
    <t>25⁰32'91"S, 26⁰92'15"E</t>
  </si>
  <si>
    <t>Tweelaagte Water Supply - Phase II</t>
  </si>
  <si>
    <t>Mabeskraal to Uitkyk Bulk Water Pipeline</t>
  </si>
  <si>
    <t>Various villages</t>
  </si>
  <si>
    <t>Twelaagte Water Supply - Phase III (New Stands)</t>
  </si>
  <si>
    <t>Sandfotein Water Supply - Phase II (Boikhutso Extention)</t>
  </si>
  <si>
    <t>Manamakgoteng Water Reticulation (Leagajang Extention )</t>
  </si>
  <si>
    <t>Molatedi Water Treatment Plant Upgranding</t>
  </si>
  <si>
    <t>Mogwase Replacemenmt of Asbestos Pipes</t>
  </si>
  <si>
    <t>33/15/13</t>
  </si>
  <si>
    <t>TOTAL WATER</t>
  </si>
  <si>
    <t>TOTAL VOTE 7</t>
  </si>
  <si>
    <t>SUMMARY SOURCE OF FINANCE</t>
  </si>
  <si>
    <t>GRANTS</t>
  </si>
  <si>
    <t>MUNICIPAL INFRASTRUCTURE GRANT ROLL OVER</t>
  </si>
  <si>
    <t>SHARED ECONOMIC INFRASTRUCTURE FUND</t>
  </si>
  <si>
    <t>TOTAL GRANTS</t>
  </si>
  <si>
    <t>SURPLUS CASH - OWN REVENUE</t>
  </si>
  <si>
    <t>EXTERNAL LOANS</t>
  </si>
  <si>
    <t>TOTAL SOURCE OF FINANCE</t>
  </si>
  <si>
    <t>PROVINCIAL INFRASTRUCTURE GRANT (PIG)</t>
  </si>
  <si>
    <t>WATER SERVICES INFRASTRUCTURE  (WSIG)</t>
  </si>
  <si>
    <t>Adjusted Budget</t>
  </si>
  <si>
    <t xml:space="preserve"> CAPITAL BUDGET 2020/2021</t>
  </si>
  <si>
    <t>PIG</t>
  </si>
  <si>
    <t>Upgrading of Madikwe Water Treatment Plant (Phase II)</t>
  </si>
  <si>
    <t>Upgrading of Madikwe Water Treatment Plant (Phase I)</t>
  </si>
  <si>
    <t>Seolong Water Supply</t>
  </si>
  <si>
    <t>LeromeWater Supply - Phase II</t>
  </si>
  <si>
    <t>Pella Water Supply - Phase I</t>
  </si>
  <si>
    <t>Oudekkers Road</t>
  </si>
  <si>
    <t>CAPITAL BUDGET 2020/2021</t>
  </si>
  <si>
    <t>37206433020FBE16ZZ15</t>
  </si>
  <si>
    <t>37206433020FBE43ZZ28</t>
  </si>
  <si>
    <t>37206433020FBC96ZZ22</t>
  </si>
  <si>
    <t>37206433020CCD94ZZ20</t>
  </si>
  <si>
    <t>37206433020CCD95ZZ10</t>
  </si>
  <si>
    <t>37206433020CCD48ZZWM</t>
  </si>
  <si>
    <t>Khayakulu Electrical Connection</t>
  </si>
  <si>
    <t>Losmytjerrie Electrical Connection</t>
  </si>
  <si>
    <t>Greater Ledig (Wards 14,28,30) Electrical Connection</t>
  </si>
  <si>
    <t>Phadi Electrical Connection</t>
  </si>
  <si>
    <t>Moruleng Electrical Connection</t>
  </si>
  <si>
    <t>Leroleng, Phola Park Lerome Mositwane Electrical Connection</t>
  </si>
  <si>
    <t xml:space="preserve">Motlhabe Electrical Connection </t>
  </si>
  <si>
    <t>Sesobe Electrical Connection</t>
  </si>
  <si>
    <t>Goede Hoop Electrical Connection</t>
  </si>
  <si>
    <t xml:space="preserve"> CAPITAL ADJUSTED BUDGET 2020/2021</t>
  </si>
  <si>
    <t>Upgrading of the Madikwe Sports Park</t>
  </si>
  <si>
    <t>Upgrading of the Mogwase Sports Park - Phase II</t>
  </si>
  <si>
    <t>34256473520FBC13ZZ29</t>
  </si>
  <si>
    <t>34256473520FBC12ZZ24</t>
  </si>
  <si>
    <t>34256473520FBC17ZZ23</t>
  </si>
  <si>
    <t>Mogwase Fresh Produce Market</t>
  </si>
  <si>
    <t>34256473520FBE48ZZWM</t>
  </si>
  <si>
    <t>34256473520FBC16ZZ28</t>
  </si>
  <si>
    <t>34256474020FBD37ZZHO</t>
  </si>
  <si>
    <t>GFS Function 34 10</t>
  </si>
  <si>
    <t>JET Clearners</t>
  </si>
  <si>
    <t>34106456020CCE46ZZHO</t>
  </si>
  <si>
    <t>CORPORATE SERVICES HUMAN RESOURCE</t>
  </si>
  <si>
    <t>ADJUSTED BUDGET CAPITAL BUDGET 2020/2021</t>
  </si>
  <si>
    <t>ANNEXTURE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</si>
</sst>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5" applyFill="1"/>
    <xf numFmtId="0" fontId="1" fillId="0" borderId="2" xfId="5" applyFill="1" applyBorder="1"/>
    <xf numFmtId="164" fontId="0" fillId="0" borderId="2" xfId="6" applyFont="1" applyFill="1" applyBorder="1"/>
    <xf numFmtId="3" fontId="1" fillId="0" borderId="0" xfId="5" applyNumberFormat="1" applyFill="1" applyAlignment="1">
      <alignment horizontal="right"/>
    </xf>
    <xf numFmtId="0" fontId="1" fillId="0" borderId="0" xfId="5" applyFill="1" applyAlignment="1">
      <alignment horizontal="left"/>
    </xf>
    <xf numFmtId="0" fontId="1" fillId="0" borderId="0" xfId="5" applyFill="1" applyBorder="1"/>
    <xf numFmtId="164" fontId="0" fillId="0" borderId="0" xfId="6" applyFont="1" applyFill="1" applyBorder="1"/>
    <xf numFmtId="0" fontId="5" fillId="0" borderId="0" xfId="5" applyFont="1" applyFill="1"/>
    <xf numFmtId="164" fontId="5" fillId="0" borderId="0" xfId="6" applyFont="1" applyFill="1"/>
    <xf numFmtId="0" fontId="5" fillId="0" borderId="2" xfId="5" applyFont="1" applyFill="1" applyBorder="1"/>
    <xf numFmtId="3" fontId="5" fillId="0" borderId="2" xfId="5" applyNumberFormat="1" applyFont="1" applyFill="1" applyBorder="1" applyAlignment="1">
      <alignment horizontal="right"/>
    </xf>
    <xf numFmtId="0" fontId="5" fillId="0" borderId="2" xfId="5" applyFont="1" applyFill="1" applyBorder="1" applyAlignment="1">
      <alignment horizontal="left"/>
    </xf>
    <xf numFmtId="3" fontId="1" fillId="0" borderId="12" xfId="5" applyNumberFormat="1" applyFill="1" applyBorder="1" applyAlignment="1">
      <alignment horizontal="right"/>
    </xf>
    <xf numFmtId="3" fontId="1" fillId="0" borderId="2" xfId="5" applyNumberFormat="1" applyFill="1" applyBorder="1" applyAlignment="1">
      <alignment horizontal="right"/>
    </xf>
    <xf numFmtId="0" fontId="1" fillId="0" borderId="2" xfId="5" applyFill="1" applyBorder="1" applyAlignment="1">
      <alignment horizontal="left"/>
    </xf>
    <xf numFmtId="0" fontId="1" fillId="0" borderId="4" xfId="5" applyFill="1" applyBorder="1"/>
    <xf numFmtId="164" fontId="0" fillId="0" borderId="4" xfId="6" applyFont="1" applyFill="1" applyBorder="1"/>
    <xf numFmtId="3" fontId="1" fillId="0" borderId="14" xfId="5" applyNumberFormat="1" applyFill="1" applyBorder="1" applyAlignment="1">
      <alignment horizontal="right"/>
    </xf>
    <xf numFmtId="3" fontId="1" fillId="0" borderId="4" xfId="5" applyNumberFormat="1" applyFill="1" applyBorder="1" applyAlignment="1">
      <alignment horizontal="right"/>
    </xf>
    <xf numFmtId="0" fontId="1" fillId="0" borderId="4" xfId="5" applyFill="1" applyBorder="1" applyAlignment="1">
      <alignment horizontal="left"/>
    </xf>
    <xf numFmtId="0" fontId="1" fillId="0" borderId="18" xfId="5" applyFill="1" applyBorder="1"/>
    <xf numFmtId="164" fontId="0" fillId="0" borderId="7" xfId="6" applyFont="1" applyFill="1" applyBorder="1"/>
    <xf numFmtId="3" fontId="1" fillId="0" borderId="17" xfId="5" applyNumberFormat="1" applyFill="1" applyBorder="1" applyAlignment="1">
      <alignment horizontal="right"/>
    </xf>
    <xf numFmtId="3" fontId="1" fillId="0" borderId="7" xfId="5" applyNumberFormat="1" applyFill="1" applyBorder="1" applyAlignment="1">
      <alignment horizontal="right"/>
    </xf>
    <xf numFmtId="0" fontId="1" fillId="0" borderId="7" xfId="5" applyFill="1" applyBorder="1" applyAlignment="1">
      <alignment horizontal="left"/>
    </xf>
    <xf numFmtId="0" fontId="1" fillId="0" borderId="16" xfId="5" applyFill="1" applyBorder="1"/>
    <xf numFmtId="0" fontId="1" fillId="0" borderId="11" xfId="5" applyFill="1" applyBorder="1"/>
    <xf numFmtId="0" fontId="1" fillId="0" borderId="10" xfId="5" applyFill="1" applyBorder="1"/>
    <xf numFmtId="0" fontId="1" fillId="0" borderId="15" xfId="5" applyFill="1" applyBorder="1"/>
    <xf numFmtId="164" fontId="0" fillId="0" borderId="5" xfId="6" applyFont="1" applyFill="1" applyBorder="1"/>
    <xf numFmtId="3" fontId="1" fillId="0" borderId="8" xfId="5" applyNumberFormat="1" applyFill="1" applyBorder="1" applyAlignment="1">
      <alignment horizontal="right"/>
    </xf>
    <xf numFmtId="3" fontId="1" fillId="0" borderId="5" xfId="5" applyNumberFormat="1" applyFill="1" applyBorder="1" applyAlignment="1">
      <alignment horizontal="right"/>
    </xf>
    <xf numFmtId="0" fontId="1" fillId="0" borderId="5" xfId="5" applyFill="1" applyBorder="1" applyAlignment="1">
      <alignment horizontal="left"/>
    </xf>
    <xf numFmtId="0" fontId="1" fillId="0" borderId="9" xfId="5" applyFill="1" applyBorder="1"/>
    <xf numFmtId="3" fontId="5" fillId="0" borderId="13" xfId="5" applyNumberFormat="1" applyFont="1" applyFill="1" applyBorder="1" applyAlignment="1">
      <alignment horizontal="right"/>
    </xf>
    <xf numFmtId="3" fontId="5" fillId="0" borderId="1" xfId="5" applyNumberFormat="1" applyFont="1" applyFill="1" applyBorder="1" applyAlignment="1">
      <alignment horizontal="right"/>
    </xf>
    <xf numFmtId="0" fontId="5" fillId="0" borderId="1" xfId="5" applyFont="1" applyFill="1" applyBorder="1" applyAlignment="1">
      <alignment horizontal="left"/>
    </xf>
    <xf numFmtId="0" fontId="5" fillId="0" borderId="1" xfId="5" applyFont="1" applyFill="1" applyBorder="1"/>
    <xf numFmtId="0" fontId="1" fillId="0" borderId="1" xfId="5" applyFill="1" applyBorder="1"/>
    <xf numFmtId="164" fontId="0" fillId="0" borderId="13" xfId="6" applyFont="1" applyFill="1" applyBorder="1"/>
    <xf numFmtId="3" fontId="1" fillId="0" borderId="13" xfId="5" applyNumberFormat="1" applyFill="1" applyBorder="1" applyAlignment="1">
      <alignment horizontal="right"/>
    </xf>
    <xf numFmtId="3" fontId="1" fillId="0" borderId="1" xfId="5" applyNumberFormat="1" applyFill="1" applyBorder="1" applyAlignment="1">
      <alignment horizontal="right"/>
    </xf>
    <xf numFmtId="0" fontId="1" fillId="0" borderId="1" xfId="5" applyFill="1" applyBorder="1" applyAlignment="1">
      <alignment horizontal="left"/>
    </xf>
    <xf numFmtId="3" fontId="1" fillId="0" borderId="2" xfId="5" applyNumberFormat="1" applyFill="1" applyBorder="1" applyAlignment="1">
      <alignment horizontal="left"/>
    </xf>
    <xf numFmtId="43" fontId="1" fillId="0" borderId="0" xfId="5" applyNumberFormat="1" applyFill="1"/>
    <xf numFmtId="3" fontId="1" fillId="0" borderId="2" xfId="5" applyNumberFormat="1" applyFont="1" applyFill="1" applyBorder="1" applyAlignment="1">
      <alignment horizontal="right"/>
    </xf>
    <xf numFmtId="3" fontId="1" fillId="0" borderId="0" xfId="5" applyNumberFormat="1" applyFont="1" applyFill="1" applyAlignment="1">
      <alignment horizontal="right"/>
    </xf>
    <xf numFmtId="3" fontId="5" fillId="0" borderId="12" xfId="5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/>
    <xf numFmtId="0" fontId="5" fillId="0" borderId="0" xfId="5" applyFont="1" applyFill="1" applyBorder="1" applyAlignment="1">
      <alignment horizontal="center"/>
    </xf>
    <xf numFmtId="3" fontId="1" fillId="0" borderId="0" xfId="5" applyNumberFormat="1" applyFill="1" applyBorder="1" applyAlignment="1">
      <alignment horizontal="right"/>
    </xf>
    <xf numFmtId="0" fontId="1" fillId="0" borderId="0" xfId="5" applyFill="1" applyBorder="1" applyAlignment="1">
      <alignment horizontal="left"/>
    </xf>
    <xf numFmtId="0" fontId="5" fillId="0" borderId="4" xfId="5" applyFont="1" applyFill="1" applyBorder="1"/>
    <xf numFmtId="3" fontId="5" fillId="0" borderId="7" xfId="5" applyNumberFormat="1" applyFont="1" applyFill="1" applyBorder="1" applyAlignment="1">
      <alignment horizontal="right"/>
    </xf>
    <xf numFmtId="0" fontId="5" fillId="0" borderId="7" xfId="5" applyFont="1" applyFill="1" applyBorder="1" applyAlignment="1">
      <alignment horizontal="left"/>
    </xf>
    <xf numFmtId="0" fontId="5" fillId="0" borderId="7" xfId="5" applyFont="1" applyFill="1" applyBorder="1"/>
    <xf numFmtId="0" fontId="1" fillId="2" borderId="2" xfId="5" applyFill="1" applyBorder="1"/>
    <xf numFmtId="3" fontId="5" fillId="0" borderId="0" xfId="5" applyNumberFormat="1" applyFont="1" applyFill="1" applyAlignment="1">
      <alignment horizontal="right"/>
    </xf>
    <xf numFmtId="0" fontId="5" fillId="0" borderId="0" xfId="5" applyFont="1" applyFill="1" applyAlignment="1">
      <alignment horizontal="left"/>
    </xf>
    <xf numFmtId="0" fontId="5" fillId="0" borderId="0" xfId="5" applyFont="1" applyFill="1" applyAlignment="1">
      <alignment horizontal="center"/>
    </xf>
    <xf numFmtId="0" fontId="1" fillId="0" borderId="4" xfId="5" applyFill="1" applyBorder="1" applyAlignment="1">
      <alignment horizontal="center" vertical="center"/>
    </xf>
    <xf numFmtId="3" fontId="5" fillId="0" borderId="17" xfId="5" applyNumberFormat="1" applyFont="1" applyFill="1" applyBorder="1" applyAlignment="1">
      <alignment horizontal="right"/>
    </xf>
    <xf numFmtId="164" fontId="0" fillId="0" borderId="0" xfId="6" applyFont="1"/>
    <xf numFmtId="3" fontId="1" fillId="0" borderId="2" xfId="5" applyNumberFormat="1" applyFill="1" applyBorder="1" applyAlignment="1"/>
    <xf numFmtId="0" fontId="6" fillId="0" borderId="0" xfId="5" applyFont="1" applyFill="1"/>
    <xf numFmtId="164" fontId="5" fillId="0" borderId="7" xfId="6" applyFont="1" applyFill="1" applyBorder="1"/>
    <xf numFmtId="0" fontId="1" fillId="0" borderId="2" xfId="5" applyFill="1" applyBorder="1" applyAlignment="1">
      <alignment wrapText="1"/>
    </xf>
    <xf numFmtId="164" fontId="5" fillId="0" borderId="2" xfId="6" applyFont="1" applyFill="1" applyBorder="1"/>
    <xf numFmtId="3" fontId="5" fillId="0" borderId="6" xfId="5" applyNumberFormat="1" applyFont="1" applyFill="1" applyBorder="1" applyAlignment="1">
      <alignment horizontal="right"/>
    </xf>
    <xf numFmtId="0" fontId="5" fillId="0" borderId="6" xfId="5" applyFont="1" applyFill="1" applyBorder="1" applyAlignment="1">
      <alignment horizontal="left"/>
    </xf>
    <xf numFmtId="0" fontId="5" fillId="0" borderId="6" xfId="5" applyFont="1" applyFill="1" applyBorder="1"/>
    <xf numFmtId="0" fontId="1" fillId="0" borderId="7" xfId="5" applyFill="1" applyBorder="1"/>
    <xf numFmtId="164" fontId="0" fillId="0" borderId="1" xfId="6" applyFont="1" applyFill="1" applyBorder="1"/>
    <xf numFmtId="0" fontId="1" fillId="0" borderId="2" xfId="5" applyFont="1" applyFill="1" applyBorder="1"/>
    <xf numFmtId="0" fontId="5" fillId="0" borderId="18" xfId="5" applyFont="1" applyFill="1" applyBorder="1"/>
    <xf numFmtId="0" fontId="5" fillId="0" borderId="16" xfId="5" applyFont="1" applyFill="1" applyBorder="1"/>
    <xf numFmtId="0" fontId="5" fillId="0" borderId="13" xfId="5" applyFont="1" applyFill="1" applyBorder="1"/>
    <xf numFmtId="0" fontId="1" fillId="0" borderId="14" xfId="5" applyFill="1" applyBorder="1"/>
    <xf numFmtId="3" fontId="5" fillId="0" borderId="12" xfId="5" quotePrefix="1" applyNumberFormat="1" applyFont="1" applyFill="1" applyBorder="1" applyAlignment="1">
      <alignment horizontal="right"/>
    </xf>
    <xf numFmtId="164" fontId="5" fillId="0" borderId="2" xfId="6" applyFont="1" applyFill="1" applyBorder="1" applyAlignment="1">
      <alignment horizontal="right"/>
    </xf>
    <xf numFmtId="164" fontId="5" fillId="0" borderId="0" xfId="6" applyFont="1" applyFill="1" applyBorder="1"/>
    <xf numFmtId="0" fontId="5" fillId="0" borderId="0" xfId="5" applyFont="1" applyFill="1" applyBorder="1" applyAlignment="1">
      <alignment horizontal="left" vertical="center"/>
    </xf>
    <xf numFmtId="164" fontId="5" fillId="0" borderId="1" xfId="6" applyFont="1" applyFill="1" applyBorder="1"/>
    <xf numFmtId="3" fontId="5" fillId="0" borderId="7" xfId="5" applyNumberFormat="1" applyFont="1" applyFill="1" applyBorder="1"/>
    <xf numFmtId="3" fontId="5" fillId="0" borderId="1" xfId="5" applyNumberFormat="1" applyFont="1" applyFill="1" applyBorder="1"/>
    <xf numFmtId="0" fontId="9" fillId="0" borderId="0" xfId="5" applyFont="1" applyFill="1" applyBorder="1" applyAlignment="1">
      <alignment horizontal="left" vertical="center"/>
    </xf>
    <xf numFmtId="3" fontId="10" fillId="0" borderId="12" xfId="5" applyNumberFormat="1" applyFont="1" applyFill="1" applyBorder="1" applyAlignment="1">
      <alignment horizontal="right"/>
    </xf>
    <xf numFmtId="165" fontId="0" fillId="0" borderId="2" xfId="6" applyNumberFormat="1" applyFont="1" applyFill="1" applyBorder="1"/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left" vertical="center"/>
    </xf>
    <xf numFmtId="3" fontId="5" fillId="0" borderId="2" xfId="5" applyNumberFormat="1" applyFont="1" applyFill="1" applyBorder="1" applyAlignment="1">
      <alignment horizontal="right"/>
    </xf>
    <xf numFmtId="0" fontId="1" fillId="0" borderId="1" xfId="5" applyFill="1" applyBorder="1" applyAlignment="1">
      <alignment horizontal="center" vertical="center"/>
    </xf>
    <xf numFmtId="0" fontId="1" fillId="0" borderId="3" xfId="5" applyFill="1" applyBorder="1" applyAlignment="1">
      <alignment horizontal="center" vertical="center"/>
    </xf>
    <xf numFmtId="0" fontId="1" fillId="0" borderId="4" xfId="5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/>
    </xf>
  </cellXfs>
  <cellStyles count="7">
    <cellStyle name="Comma 2" xfId="4"/>
    <cellStyle name="Comma 3" xfId="6"/>
    <cellStyle name="Normal" xfId="0" builtinId="0"/>
    <cellStyle name="Normal 2" xfId="2"/>
    <cellStyle name="Normal 3" xfId="1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56"/>
  <sheetViews>
    <sheetView tabSelected="1" view="pageBreakPreview" topLeftCell="A4" zoomScale="90" zoomScaleNormal="92" zoomScaleSheetLayoutView="90" workbookViewId="0">
      <pane ySplit="9" topLeftCell="A343" activePane="bottomLeft" state="frozen"/>
      <selection activeCell="C4" sqref="C4"/>
      <selection pane="bottomLeft" activeCell="P353" sqref="P353"/>
    </sheetView>
  </sheetViews>
  <sheetFormatPr defaultColWidth="8.85546875" defaultRowHeight="15" x14ac:dyDescent="0.25"/>
  <cols>
    <col min="1" max="1" width="27.7109375" style="1" hidden="1" customWidth="1"/>
    <col min="2" max="2" width="16.140625" style="1" hidden="1" customWidth="1"/>
    <col min="3" max="3" width="57.140625" style="1" customWidth="1"/>
    <col min="4" max="4" width="8.85546875" style="5"/>
    <col min="5" max="5" width="19.85546875" style="5" bestFit="1" customWidth="1"/>
    <col min="6" max="6" width="27" style="5" bestFit="1" customWidth="1"/>
    <col min="7" max="7" width="17.140625" style="4" hidden="1" customWidth="1"/>
    <col min="8" max="8" width="14.42578125" style="4" hidden="1" customWidth="1"/>
    <col min="9" max="9" width="12.85546875" style="4" hidden="1" customWidth="1"/>
    <col min="10" max="10" width="13.7109375" style="4" hidden="1" customWidth="1"/>
    <col min="11" max="11" width="16.7109375" style="4" hidden="1" customWidth="1"/>
    <col min="12" max="12" width="11.28515625" style="4" hidden="1" customWidth="1"/>
    <col min="13" max="13" width="15.42578125" style="4" hidden="1" customWidth="1"/>
    <col min="14" max="14" width="0" style="4" hidden="1" customWidth="1"/>
    <col min="15" max="16" width="15.42578125" style="4" customWidth="1"/>
    <col min="17" max="17" width="9.140625" style="4" bestFit="1" customWidth="1"/>
    <col min="18" max="18" width="17.5703125" style="4" customWidth="1"/>
    <col min="19" max="19" width="14.5703125" style="4" bestFit="1" customWidth="1"/>
    <col min="20" max="20" width="15.85546875" style="3" bestFit="1" customWidth="1"/>
    <col min="21" max="21" width="14.28515625" style="2" bestFit="1" customWidth="1"/>
    <col min="22" max="22" width="10.85546875" style="1" bestFit="1" customWidth="1"/>
    <col min="23" max="23" width="14.85546875" style="1" bestFit="1" customWidth="1"/>
    <col min="24" max="16384" width="8.85546875" style="1"/>
  </cols>
  <sheetData>
    <row r="1" spans="1:21" s="8" customFormat="1" x14ac:dyDescent="0.25">
      <c r="C1" s="91" t="s">
        <v>5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62"/>
      <c r="T1" s="70"/>
      <c r="U1" s="10"/>
    </row>
    <row r="2" spans="1:21" s="8" customFormat="1" x14ac:dyDescent="0.25">
      <c r="C2" s="91" t="s">
        <v>6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62"/>
      <c r="T2" s="70"/>
      <c r="U2" s="10"/>
    </row>
    <row r="3" spans="1:21" s="8" customFormat="1" x14ac:dyDescent="0.25">
      <c r="D3" s="61"/>
      <c r="E3" s="61"/>
      <c r="F3" s="61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85"/>
      <c r="U3" s="38"/>
    </row>
    <row r="4" spans="1:21" s="51" customFormat="1" x14ac:dyDescent="0.25">
      <c r="D4" s="50"/>
      <c r="E4" s="50"/>
      <c r="F4" s="50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83"/>
    </row>
    <row r="5" spans="1:21" s="51" customFormat="1" x14ac:dyDescent="0.25">
      <c r="D5" s="92" t="s">
        <v>5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83"/>
    </row>
    <row r="6" spans="1:21" s="51" customFormat="1" x14ac:dyDescent="0.25">
      <c r="D6" s="93" t="s">
        <v>432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83"/>
    </row>
    <row r="7" spans="1:21" s="51" customFormat="1" ht="15.75" x14ac:dyDescent="0.25">
      <c r="D7" s="84"/>
      <c r="E7" s="84"/>
      <c r="F7" s="88" t="s">
        <v>433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3"/>
    </row>
    <row r="8" spans="1:21" s="51" customFormat="1" x14ac:dyDescent="0.25">
      <c r="D8" s="50"/>
      <c r="E8" s="50"/>
      <c r="F8" s="50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83"/>
    </row>
    <row r="9" spans="1:21" s="8" customFormat="1" x14ac:dyDescent="0.25">
      <c r="A9" s="10"/>
      <c r="B9" s="10"/>
      <c r="C9" s="10"/>
      <c r="D9" s="12"/>
      <c r="E9" s="12"/>
      <c r="F9" s="12"/>
      <c r="G9" s="94" t="s">
        <v>7</v>
      </c>
      <c r="H9" s="94"/>
      <c r="I9" s="94"/>
      <c r="J9" s="94"/>
      <c r="K9" s="94"/>
      <c r="L9" s="94"/>
      <c r="M9" s="11"/>
      <c r="N9" s="11"/>
      <c r="O9" s="11"/>
      <c r="P9" s="11"/>
      <c r="Q9" s="11"/>
      <c r="R9" s="11"/>
      <c r="S9" s="11"/>
      <c r="T9" s="70"/>
      <c r="U9" s="10"/>
    </row>
    <row r="10" spans="1:21" s="8" customFormat="1" x14ac:dyDescent="0.25">
      <c r="A10" s="10"/>
      <c r="B10" s="10" t="s">
        <v>8</v>
      </c>
      <c r="C10" s="10" t="s">
        <v>9</v>
      </c>
      <c r="D10" s="12"/>
      <c r="E10" s="12"/>
      <c r="F10" s="12"/>
      <c r="G10" s="11" t="s">
        <v>10</v>
      </c>
      <c r="H10" s="11" t="s">
        <v>11</v>
      </c>
      <c r="I10" s="11" t="s">
        <v>12</v>
      </c>
      <c r="J10" s="11" t="s">
        <v>13</v>
      </c>
      <c r="K10" s="11"/>
      <c r="L10" s="11" t="s">
        <v>14</v>
      </c>
      <c r="M10" s="11" t="s">
        <v>15</v>
      </c>
      <c r="N10" s="11" t="s">
        <v>15</v>
      </c>
      <c r="O10" s="11" t="s">
        <v>16</v>
      </c>
      <c r="P10" s="11" t="s">
        <v>393</v>
      </c>
      <c r="Q10" s="11" t="s">
        <v>15</v>
      </c>
      <c r="R10" s="48" t="s">
        <v>16</v>
      </c>
      <c r="S10" s="11" t="s">
        <v>15</v>
      </c>
      <c r="T10" s="82" t="s">
        <v>16</v>
      </c>
      <c r="U10" s="11" t="s">
        <v>15</v>
      </c>
    </row>
    <row r="11" spans="1:21" s="8" customFormat="1" x14ac:dyDescent="0.25">
      <c r="A11" s="10"/>
      <c r="B11" s="10"/>
      <c r="C11" s="10"/>
      <c r="D11" s="12"/>
      <c r="E11" s="12"/>
      <c r="F11" s="12"/>
      <c r="G11" s="11" t="s">
        <v>16</v>
      </c>
      <c r="H11" s="11" t="s">
        <v>16</v>
      </c>
      <c r="I11" s="11" t="s">
        <v>17</v>
      </c>
      <c r="J11" s="11"/>
      <c r="K11" s="11"/>
      <c r="L11" s="11"/>
      <c r="M11" s="11"/>
      <c r="N11" s="11"/>
      <c r="O11" s="11"/>
      <c r="P11" s="11"/>
      <c r="Q11" s="11"/>
      <c r="R11" s="48"/>
      <c r="S11" s="11"/>
      <c r="T11" s="82"/>
      <c r="U11" s="11"/>
    </row>
    <row r="12" spans="1:21" s="8" customFormat="1" x14ac:dyDescent="0.25">
      <c r="A12" s="10"/>
      <c r="B12" s="10"/>
      <c r="C12" s="10" t="s">
        <v>18</v>
      </c>
      <c r="D12" s="12" t="s">
        <v>19</v>
      </c>
      <c r="E12" s="12" t="s">
        <v>20</v>
      </c>
      <c r="F12" s="12" t="s">
        <v>21</v>
      </c>
      <c r="G12" s="11" t="s">
        <v>22</v>
      </c>
      <c r="H12" s="11" t="s">
        <v>22</v>
      </c>
      <c r="I12" s="11"/>
      <c r="J12" s="11" t="s">
        <v>23</v>
      </c>
      <c r="K12" s="11" t="s">
        <v>24</v>
      </c>
      <c r="L12" s="11" t="s">
        <v>25</v>
      </c>
      <c r="M12" s="11" t="s">
        <v>26</v>
      </c>
      <c r="N12" s="11" t="s">
        <v>26</v>
      </c>
      <c r="O12" s="11" t="s">
        <v>27</v>
      </c>
      <c r="P12" s="11" t="s">
        <v>27</v>
      </c>
      <c r="Q12" s="11" t="s">
        <v>26</v>
      </c>
      <c r="R12" s="48" t="s">
        <v>28</v>
      </c>
      <c r="S12" s="11" t="s">
        <v>26</v>
      </c>
      <c r="T12" s="81" t="s">
        <v>29</v>
      </c>
      <c r="U12" s="11" t="s">
        <v>26</v>
      </c>
    </row>
    <row r="13" spans="1:21" x14ac:dyDescent="0.25">
      <c r="A13" s="2"/>
      <c r="B13" s="2"/>
      <c r="C13" s="2"/>
      <c r="D13" s="15"/>
      <c r="E13" s="15"/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3"/>
      <c r="S13" s="13"/>
    </row>
    <row r="14" spans="1:21" x14ac:dyDescent="0.25">
      <c r="A14" s="2"/>
      <c r="B14" s="2"/>
      <c r="C14" s="10" t="s">
        <v>30</v>
      </c>
      <c r="D14" s="15"/>
      <c r="E14" s="15"/>
      <c r="F14" s="1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3"/>
      <c r="S14" s="13"/>
    </row>
    <row r="15" spans="1:21" x14ac:dyDescent="0.25">
      <c r="A15" s="2"/>
      <c r="B15" s="2"/>
      <c r="C15" s="2"/>
      <c r="D15" s="15"/>
      <c r="E15" s="15"/>
      <c r="F15" s="1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3"/>
      <c r="S15" s="13"/>
    </row>
    <row r="16" spans="1:21" x14ac:dyDescent="0.25">
      <c r="A16" s="2"/>
      <c r="B16" s="2"/>
      <c r="C16" s="10" t="s">
        <v>31</v>
      </c>
      <c r="D16" s="15"/>
      <c r="E16" s="15"/>
      <c r="F16" s="1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3"/>
      <c r="S16" s="13"/>
    </row>
    <row r="17" spans="1:21" x14ac:dyDescent="0.25">
      <c r="A17" s="2"/>
      <c r="B17" s="2"/>
      <c r="C17" s="2"/>
      <c r="D17" s="15"/>
      <c r="E17" s="15"/>
      <c r="F17" s="1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/>
      <c r="S17" s="13"/>
    </row>
    <row r="18" spans="1:21" x14ac:dyDescent="0.25">
      <c r="A18" s="2"/>
      <c r="B18" s="2"/>
      <c r="C18" s="2" t="s">
        <v>32</v>
      </c>
      <c r="D18" s="15"/>
      <c r="E18" s="15"/>
      <c r="F18" s="15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3"/>
      <c r="S18" s="13"/>
    </row>
    <row r="19" spans="1:21" x14ac:dyDescent="0.25">
      <c r="A19" s="2"/>
      <c r="B19" s="2"/>
      <c r="C19" s="2"/>
      <c r="D19" s="15"/>
      <c r="E19" s="15"/>
      <c r="F19" s="15"/>
      <c r="G19" s="14"/>
      <c r="H19" s="14"/>
      <c r="I19" s="14">
        <v>0</v>
      </c>
      <c r="J19" s="14"/>
      <c r="K19" s="14"/>
      <c r="L19" s="14"/>
      <c r="M19" s="14"/>
      <c r="N19" s="14"/>
      <c r="O19" s="14"/>
      <c r="P19" s="14"/>
      <c r="Q19" s="14"/>
      <c r="R19" s="13"/>
      <c r="S19" s="13"/>
    </row>
    <row r="20" spans="1:21" x14ac:dyDescent="0.25">
      <c r="A20" s="2"/>
      <c r="B20" s="2"/>
      <c r="C20" s="10" t="s">
        <v>33</v>
      </c>
      <c r="D20" s="15"/>
      <c r="E20" s="15"/>
      <c r="F20" s="1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3"/>
      <c r="S20" s="13"/>
    </row>
    <row r="21" spans="1:21" x14ac:dyDescent="0.25">
      <c r="A21" s="2"/>
      <c r="B21" s="2"/>
      <c r="C21" s="2"/>
      <c r="D21" s="15"/>
      <c r="E21" s="15"/>
      <c r="F21" s="15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3"/>
      <c r="S21" s="13"/>
    </row>
    <row r="22" spans="1:21" x14ac:dyDescent="0.25">
      <c r="A22" s="2" t="s">
        <v>34</v>
      </c>
      <c r="B22" s="2"/>
      <c r="C22" s="2" t="s">
        <v>35</v>
      </c>
      <c r="D22" s="15">
        <v>33</v>
      </c>
      <c r="E22" s="15" t="s">
        <v>36</v>
      </c>
      <c r="F22" s="15" t="s">
        <v>37</v>
      </c>
      <c r="G22" s="14">
        <v>100000</v>
      </c>
      <c r="H22" s="14"/>
      <c r="I22" s="14"/>
      <c r="J22" s="14"/>
      <c r="K22" s="14"/>
      <c r="L22" s="14">
        <v>100000</v>
      </c>
      <c r="M22" s="14" t="s">
        <v>38</v>
      </c>
      <c r="N22" s="14" t="s">
        <v>38</v>
      </c>
      <c r="O22" s="14"/>
      <c r="P22" s="14"/>
      <c r="Q22" s="14" t="s">
        <v>38</v>
      </c>
      <c r="R22" s="13"/>
      <c r="S22" s="13"/>
    </row>
    <row r="23" spans="1:21" x14ac:dyDescent="0.25">
      <c r="A23" s="2"/>
      <c r="B23" s="2"/>
      <c r="C23" s="2"/>
      <c r="D23" s="15"/>
      <c r="E23" s="15"/>
      <c r="F23" s="1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3"/>
      <c r="S23" s="13"/>
    </row>
    <row r="24" spans="1:21" ht="15.75" thickBot="1" x14ac:dyDescent="0.3">
      <c r="A24" s="2"/>
      <c r="B24" s="39"/>
      <c r="C24" s="38" t="s">
        <v>39</v>
      </c>
      <c r="D24" s="37"/>
      <c r="E24" s="37"/>
      <c r="F24" s="37"/>
      <c r="G24" s="36">
        <v>100000</v>
      </c>
      <c r="H24" s="36"/>
      <c r="I24" s="36"/>
      <c r="J24" s="36"/>
      <c r="K24" s="36"/>
      <c r="L24" s="36">
        <v>100000</v>
      </c>
      <c r="M24" s="36"/>
      <c r="N24" s="36"/>
      <c r="O24" s="36"/>
      <c r="P24" s="36"/>
      <c r="Q24" s="36"/>
      <c r="R24" s="35"/>
      <c r="S24" s="35"/>
      <c r="T24" s="75"/>
      <c r="U24" s="39"/>
    </row>
    <row r="25" spans="1:21" x14ac:dyDescent="0.25">
      <c r="A25" s="2"/>
      <c r="B25" s="80"/>
      <c r="C25" s="34"/>
      <c r="D25" s="33"/>
      <c r="E25" s="33"/>
      <c r="F25" s="33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1"/>
      <c r="S25" s="32"/>
      <c r="T25" s="30"/>
      <c r="U25" s="29"/>
    </row>
    <row r="26" spans="1:21" s="8" customFormat="1" ht="15.75" thickBot="1" x14ac:dyDescent="0.3">
      <c r="A26" s="10"/>
      <c r="B26" s="79"/>
      <c r="C26" s="78" t="s">
        <v>40</v>
      </c>
      <c r="D26" s="57"/>
      <c r="E26" s="57"/>
      <c r="F26" s="57"/>
      <c r="G26" s="56">
        <v>100000</v>
      </c>
      <c r="H26" s="56"/>
      <c r="I26" s="56"/>
      <c r="J26" s="56"/>
      <c r="K26" s="56"/>
      <c r="L26" s="56">
        <v>100000</v>
      </c>
      <c r="M26" s="56"/>
      <c r="N26" s="56"/>
      <c r="O26" s="56"/>
      <c r="P26" s="56"/>
      <c r="Q26" s="56"/>
      <c r="R26" s="64"/>
      <c r="S26" s="56"/>
      <c r="T26" s="68"/>
      <c r="U26" s="77"/>
    </row>
    <row r="27" spans="1:21" x14ac:dyDescent="0.25">
      <c r="A27" s="2"/>
      <c r="B27" s="16"/>
      <c r="C27" s="16"/>
      <c r="D27" s="20"/>
      <c r="E27" s="20"/>
      <c r="F27" s="2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8"/>
      <c r="S27" s="18"/>
      <c r="T27" s="17"/>
      <c r="U27" s="16"/>
    </row>
    <row r="28" spans="1:21" x14ac:dyDescent="0.25">
      <c r="A28" s="2"/>
      <c r="B28" s="2"/>
      <c r="C28" s="2"/>
      <c r="D28" s="15"/>
      <c r="E28" s="15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3"/>
      <c r="S28" s="13"/>
    </row>
    <row r="29" spans="1:21" x14ac:dyDescent="0.25">
      <c r="A29" s="2"/>
      <c r="B29" s="2"/>
      <c r="C29" s="10" t="s">
        <v>41</v>
      </c>
      <c r="D29" s="15"/>
      <c r="E29" s="15"/>
      <c r="F29" s="1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3"/>
      <c r="S29" s="13"/>
    </row>
    <row r="30" spans="1:21" x14ac:dyDescent="0.25">
      <c r="A30" s="2"/>
      <c r="B30" s="2"/>
      <c r="C30" s="10"/>
      <c r="D30" s="15"/>
      <c r="E30" s="15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3"/>
      <c r="S30" s="13"/>
    </row>
    <row r="31" spans="1:21" x14ac:dyDescent="0.25">
      <c r="A31" s="2"/>
      <c r="B31" s="2"/>
      <c r="C31" s="10" t="s">
        <v>42</v>
      </c>
      <c r="D31" s="15"/>
      <c r="E31" s="15"/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3"/>
      <c r="S31" s="13"/>
    </row>
    <row r="32" spans="1:21" x14ac:dyDescent="0.25">
      <c r="A32" s="2"/>
      <c r="B32" s="2"/>
      <c r="C32" s="2"/>
      <c r="D32" s="15"/>
      <c r="E32" s="15"/>
      <c r="F32" s="1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3"/>
      <c r="S32" s="13"/>
    </row>
    <row r="33" spans="1:21" x14ac:dyDescent="0.25">
      <c r="A33" s="2"/>
      <c r="B33" s="2"/>
      <c r="C33" s="2" t="s">
        <v>43</v>
      </c>
      <c r="D33" s="15"/>
      <c r="E33" s="15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3"/>
      <c r="S33" s="13"/>
    </row>
    <row r="34" spans="1:21" x14ac:dyDescent="0.25">
      <c r="A34" s="2"/>
      <c r="B34" s="2"/>
      <c r="C34" s="2"/>
      <c r="D34" s="15"/>
      <c r="E34" s="15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3"/>
      <c r="S34" s="13"/>
    </row>
    <row r="35" spans="1:21" x14ac:dyDescent="0.25">
      <c r="A35" s="2" t="s">
        <v>44</v>
      </c>
      <c r="B35" s="2"/>
      <c r="C35" s="2" t="s">
        <v>45</v>
      </c>
      <c r="D35" s="15">
        <v>33</v>
      </c>
      <c r="E35" s="15" t="s">
        <v>36</v>
      </c>
      <c r="F35" s="15" t="s">
        <v>37</v>
      </c>
      <c r="G35" s="14">
        <v>200000</v>
      </c>
      <c r="H35" s="14"/>
      <c r="I35" s="14"/>
      <c r="J35" s="14"/>
      <c r="K35" s="14"/>
      <c r="L35" s="14">
        <v>200000</v>
      </c>
      <c r="M35" s="14" t="s">
        <v>38</v>
      </c>
      <c r="N35" s="14" t="s">
        <v>38</v>
      </c>
      <c r="O35" s="14">
        <v>300000</v>
      </c>
      <c r="P35" s="14">
        <v>300000</v>
      </c>
      <c r="Q35" s="14" t="s">
        <v>38</v>
      </c>
      <c r="R35" s="13"/>
      <c r="S35" s="13"/>
    </row>
    <row r="36" spans="1:21" x14ac:dyDescent="0.25">
      <c r="A36" s="2"/>
      <c r="B36" s="2"/>
      <c r="C36" s="2"/>
      <c r="D36" s="15"/>
      <c r="E36" s="15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3"/>
      <c r="S36" s="13"/>
    </row>
    <row r="37" spans="1:21" x14ac:dyDescent="0.25">
      <c r="A37" s="2"/>
      <c r="B37" s="2"/>
      <c r="C37" s="2"/>
      <c r="D37" s="15"/>
      <c r="E37" s="15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3"/>
      <c r="S37" s="13"/>
    </row>
    <row r="38" spans="1:21" x14ac:dyDescent="0.25">
      <c r="A38" s="2"/>
      <c r="B38" s="2"/>
      <c r="C38" s="10" t="s">
        <v>46</v>
      </c>
      <c r="D38" s="15"/>
      <c r="E38" s="15"/>
      <c r="F38" s="1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3"/>
      <c r="S38" s="13"/>
    </row>
    <row r="39" spans="1:21" x14ac:dyDescent="0.25">
      <c r="A39" s="2"/>
      <c r="B39" s="2"/>
      <c r="C39" s="2"/>
      <c r="D39" s="15"/>
      <c r="E39" s="15"/>
      <c r="F39" s="15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3"/>
      <c r="S39" s="13"/>
    </row>
    <row r="40" spans="1:21" x14ac:dyDescent="0.25">
      <c r="A40" s="2" t="s">
        <v>47</v>
      </c>
      <c r="B40" s="2"/>
      <c r="C40" s="2" t="s">
        <v>48</v>
      </c>
      <c r="D40" s="15">
        <v>33</v>
      </c>
      <c r="E40" s="15" t="s">
        <v>36</v>
      </c>
      <c r="F40" s="15" t="s">
        <v>37</v>
      </c>
      <c r="G40" s="14">
        <v>100000</v>
      </c>
      <c r="H40" s="14"/>
      <c r="I40" s="14"/>
      <c r="J40" s="14"/>
      <c r="K40" s="14"/>
      <c r="L40" s="14">
        <v>100000</v>
      </c>
      <c r="M40" s="14" t="s">
        <v>38</v>
      </c>
      <c r="N40" s="14" t="s">
        <v>38</v>
      </c>
      <c r="O40" s="14">
        <v>200000</v>
      </c>
      <c r="P40" s="14">
        <v>200000</v>
      </c>
      <c r="Q40" s="14" t="s">
        <v>38</v>
      </c>
      <c r="R40" s="13"/>
      <c r="S40" s="13"/>
    </row>
    <row r="41" spans="1:21" x14ac:dyDescent="0.25">
      <c r="A41" s="2"/>
      <c r="B41" s="2"/>
      <c r="C41" s="2"/>
      <c r="D41" s="15"/>
      <c r="E41" s="15"/>
      <c r="F41" s="1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3"/>
      <c r="S41" s="13"/>
    </row>
    <row r="42" spans="1:21" x14ac:dyDescent="0.25">
      <c r="A42" s="2"/>
      <c r="B42" s="2"/>
      <c r="C42" s="2"/>
      <c r="D42" s="15"/>
      <c r="E42" s="15"/>
      <c r="F42" s="15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3"/>
      <c r="S42" s="13"/>
    </row>
    <row r="43" spans="1:21" ht="15.75" thickBot="1" x14ac:dyDescent="0.3">
      <c r="A43" s="74"/>
      <c r="B43" s="74"/>
      <c r="C43" s="58" t="s">
        <v>49</v>
      </c>
      <c r="D43" s="57"/>
      <c r="E43" s="57"/>
      <c r="F43" s="57"/>
      <c r="G43" s="56">
        <v>300000</v>
      </c>
      <c r="H43" s="56"/>
      <c r="I43" s="56"/>
      <c r="J43" s="56">
        <v>0</v>
      </c>
      <c r="K43" s="56"/>
      <c r="L43" s="56">
        <v>300000</v>
      </c>
      <c r="M43" s="56"/>
      <c r="N43" s="56"/>
      <c r="O43" s="56"/>
      <c r="P43" s="56"/>
      <c r="Q43" s="56"/>
      <c r="R43" s="64"/>
      <c r="S43" s="64"/>
      <c r="T43" s="22"/>
      <c r="U43" s="74"/>
    </row>
    <row r="44" spans="1:21" x14ac:dyDescent="0.25">
      <c r="C44" s="91" t="s">
        <v>5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62"/>
      <c r="T44" s="7"/>
      <c r="U44" s="6"/>
    </row>
    <row r="45" spans="1:21" x14ac:dyDescent="0.25">
      <c r="C45" s="91" t="s">
        <v>402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62"/>
      <c r="T45" s="7"/>
      <c r="U45" s="6"/>
    </row>
    <row r="46" spans="1:21" x14ac:dyDescent="0.25">
      <c r="C46" s="8"/>
      <c r="D46" s="61"/>
      <c r="E46" s="61"/>
      <c r="F46" s="61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7"/>
      <c r="U46" s="6"/>
    </row>
    <row r="47" spans="1:21" x14ac:dyDescent="0.25">
      <c r="A47" s="2"/>
      <c r="B47" s="2"/>
      <c r="C47" s="10"/>
      <c r="D47" s="12"/>
      <c r="E47" s="12"/>
      <c r="F47" s="12"/>
      <c r="G47" s="94" t="s">
        <v>7</v>
      </c>
      <c r="H47" s="94"/>
      <c r="I47" s="94"/>
      <c r="J47" s="94"/>
      <c r="K47" s="94"/>
      <c r="L47" s="94"/>
      <c r="M47" s="11"/>
      <c r="N47" s="11"/>
      <c r="O47" s="11"/>
      <c r="P47" s="11"/>
      <c r="Q47" s="11"/>
      <c r="R47" s="48"/>
      <c r="S47" s="48"/>
    </row>
    <row r="48" spans="1:21" x14ac:dyDescent="0.25">
      <c r="A48" s="2"/>
      <c r="B48" s="2"/>
      <c r="C48" s="10" t="s">
        <v>9</v>
      </c>
      <c r="D48" s="12"/>
      <c r="E48" s="12"/>
      <c r="F48" s="12"/>
      <c r="G48" s="11" t="s">
        <v>10</v>
      </c>
      <c r="H48" s="11" t="s">
        <v>11</v>
      </c>
      <c r="I48" s="11" t="s">
        <v>12</v>
      </c>
      <c r="J48" s="11" t="s">
        <v>13</v>
      </c>
      <c r="K48" s="11"/>
      <c r="L48" s="11" t="s">
        <v>14</v>
      </c>
      <c r="M48" s="11" t="s">
        <v>15</v>
      </c>
      <c r="N48" s="11" t="s">
        <v>15</v>
      </c>
      <c r="O48" s="11" t="s">
        <v>16</v>
      </c>
      <c r="P48" s="11"/>
      <c r="Q48" s="11" t="s">
        <v>15</v>
      </c>
      <c r="R48" s="48" t="s">
        <v>16</v>
      </c>
      <c r="S48" s="48"/>
    </row>
    <row r="49" spans="1:19" x14ac:dyDescent="0.25">
      <c r="A49" s="2"/>
      <c r="B49" s="2"/>
      <c r="C49" s="10"/>
      <c r="D49" s="12"/>
      <c r="E49" s="12"/>
      <c r="F49" s="12"/>
      <c r="G49" s="11" t="s">
        <v>16</v>
      </c>
      <c r="H49" s="11" t="s">
        <v>16</v>
      </c>
      <c r="I49" s="11" t="s">
        <v>17</v>
      </c>
      <c r="J49" s="11"/>
      <c r="K49" s="11"/>
      <c r="L49" s="11"/>
      <c r="M49" s="11"/>
      <c r="N49" s="11"/>
      <c r="O49" s="11"/>
      <c r="P49" s="11"/>
      <c r="Q49" s="11"/>
      <c r="R49" s="48"/>
      <c r="S49" s="48"/>
    </row>
    <row r="50" spans="1:19" x14ac:dyDescent="0.25">
      <c r="A50" s="2"/>
      <c r="B50" s="2"/>
      <c r="C50" s="10" t="s">
        <v>18</v>
      </c>
      <c r="D50" s="12" t="s">
        <v>19</v>
      </c>
      <c r="E50" s="12" t="s">
        <v>20</v>
      </c>
      <c r="F50" s="12" t="s">
        <v>21</v>
      </c>
      <c r="G50" s="11" t="s">
        <v>22</v>
      </c>
      <c r="H50" s="11" t="s">
        <v>22</v>
      </c>
      <c r="I50" s="11"/>
      <c r="J50" s="11" t="s">
        <v>23</v>
      </c>
      <c r="K50" s="11" t="s">
        <v>24</v>
      </c>
      <c r="L50" s="11" t="s">
        <v>25</v>
      </c>
      <c r="M50" s="11" t="s">
        <v>26</v>
      </c>
      <c r="N50" s="11" t="s">
        <v>26</v>
      </c>
      <c r="O50" s="11" t="s">
        <v>27</v>
      </c>
      <c r="P50" s="11"/>
      <c r="Q50" s="11" t="s">
        <v>26</v>
      </c>
      <c r="R50" s="48" t="s">
        <v>28</v>
      </c>
      <c r="S50" s="48"/>
    </row>
    <row r="51" spans="1:19" x14ac:dyDescent="0.25">
      <c r="A51" s="2"/>
      <c r="B51" s="2"/>
      <c r="C51" s="10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48"/>
      <c r="S51" s="48"/>
    </row>
    <row r="52" spans="1:19" x14ac:dyDescent="0.25">
      <c r="A52" s="2"/>
      <c r="B52" s="2"/>
      <c r="C52" s="10" t="s">
        <v>431</v>
      </c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48"/>
      <c r="S52" s="48"/>
    </row>
    <row r="53" spans="1:19" x14ac:dyDescent="0.25">
      <c r="A53" s="2"/>
      <c r="B53" s="2"/>
      <c r="C53" s="10"/>
      <c r="D53" s="12"/>
      <c r="E53" s="12"/>
      <c r="F53" s="12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48"/>
      <c r="S53" s="48"/>
    </row>
    <row r="54" spans="1:19" x14ac:dyDescent="0.25">
      <c r="A54" s="2"/>
      <c r="B54" s="2"/>
      <c r="C54" s="10" t="s">
        <v>51</v>
      </c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48"/>
      <c r="S54" s="48"/>
    </row>
    <row r="55" spans="1:19" x14ac:dyDescent="0.25">
      <c r="A55" s="2"/>
      <c r="B55" s="2"/>
      <c r="C55" s="10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48"/>
      <c r="S55" s="48"/>
    </row>
    <row r="56" spans="1:19" x14ac:dyDescent="0.25">
      <c r="A56" s="2" t="s">
        <v>430</v>
      </c>
      <c r="B56" s="2"/>
      <c r="C56" s="76" t="s">
        <v>429</v>
      </c>
      <c r="D56" s="12">
        <v>33</v>
      </c>
      <c r="E56" s="12" t="s">
        <v>36</v>
      </c>
      <c r="F56" s="12" t="s">
        <v>37</v>
      </c>
      <c r="G56" s="11"/>
      <c r="H56" s="11"/>
      <c r="I56" s="11"/>
      <c r="J56" s="11"/>
      <c r="K56" s="11"/>
      <c r="L56" s="11"/>
      <c r="M56" s="11"/>
      <c r="N56" s="11"/>
      <c r="O56" s="11">
        <v>500000</v>
      </c>
      <c r="P56" s="11">
        <v>500000</v>
      </c>
      <c r="Q56" s="11" t="s">
        <v>38</v>
      </c>
      <c r="R56" s="48"/>
      <c r="S56" s="48"/>
    </row>
    <row r="57" spans="1:19" x14ac:dyDescent="0.25">
      <c r="A57" s="2"/>
      <c r="B57" s="2"/>
      <c r="C57" s="10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48"/>
      <c r="S57" s="48"/>
    </row>
    <row r="58" spans="1:19" x14ac:dyDescent="0.25">
      <c r="A58" s="2"/>
      <c r="B58" s="2"/>
      <c r="C58" s="10" t="s">
        <v>50</v>
      </c>
      <c r="D58" s="15"/>
      <c r="E58" s="15"/>
      <c r="F58" s="15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3"/>
      <c r="S58" s="13"/>
    </row>
    <row r="59" spans="1:19" x14ac:dyDescent="0.25">
      <c r="A59" s="2"/>
      <c r="B59" s="2"/>
      <c r="C59" s="2"/>
      <c r="D59" s="15"/>
      <c r="E59" s="15"/>
      <c r="F59" s="15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3"/>
      <c r="S59" s="13"/>
    </row>
    <row r="60" spans="1:19" x14ac:dyDescent="0.25">
      <c r="A60" s="2"/>
      <c r="B60" s="2"/>
      <c r="C60" s="2" t="s">
        <v>428</v>
      </c>
      <c r="D60" s="15"/>
      <c r="E60" s="15"/>
      <c r="F60" s="15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3"/>
      <c r="S60" s="13"/>
    </row>
    <row r="61" spans="1:19" x14ac:dyDescent="0.25">
      <c r="A61" s="2"/>
      <c r="B61" s="2"/>
      <c r="C61" s="2"/>
      <c r="D61" s="15"/>
      <c r="E61" s="15"/>
      <c r="F61" s="15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3"/>
      <c r="S61" s="13"/>
    </row>
    <row r="62" spans="1:19" x14ac:dyDescent="0.25">
      <c r="A62" s="2"/>
      <c r="B62" s="2"/>
      <c r="C62" s="10" t="s">
        <v>33</v>
      </c>
      <c r="D62" s="15"/>
      <c r="E62" s="15"/>
      <c r="F62" s="15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"/>
      <c r="S62" s="13"/>
    </row>
    <row r="63" spans="1:19" x14ac:dyDescent="0.25">
      <c r="A63" s="2"/>
      <c r="B63" s="2"/>
      <c r="C63" s="2"/>
      <c r="D63" s="15"/>
      <c r="E63" s="15"/>
      <c r="F63" s="15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3"/>
      <c r="S63" s="13"/>
    </row>
    <row r="64" spans="1:19" x14ac:dyDescent="0.25">
      <c r="A64" s="2"/>
      <c r="B64" s="2"/>
      <c r="C64" s="2"/>
      <c r="D64" s="15"/>
      <c r="E64" s="15"/>
      <c r="F64" s="15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3"/>
      <c r="S64" s="13"/>
    </row>
    <row r="65" spans="1:21" x14ac:dyDescent="0.25">
      <c r="A65" s="2" t="s">
        <v>52</v>
      </c>
      <c r="B65" s="2"/>
      <c r="C65" s="2" t="s">
        <v>53</v>
      </c>
      <c r="D65" s="15">
        <v>33</v>
      </c>
      <c r="E65" s="15" t="s">
        <v>36</v>
      </c>
      <c r="F65" s="15" t="s">
        <v>37</v>
      </c>
      <c r="G65" s="14">
        <v>250000</v>
      </c>
      <c r="H65" s="14">
        <v>250000</v>
      </c>
      <c r="I65" s="14"/>
      <c r="J65" s="14"/>
      <c r="K65" s="14"/>
      <c r="L65" s="14">
        <v>250000</v>
      </c>
      <c r="M65" s="14" t="s">
        <v>38</v>
      </c>
      <c r="N65" s="14" t="s">
        <v>38</v>
      </c>
      <c r="O65" s="14"/>
      <c r="P65" s="14"/>
      <c r="Q65" s="14" t="s">
        <v>38</v>
      </c>
      <c r="R65" s="13"/>
      <c r="S65" s="13"/>
    </row>
    <row r="66" spans="1:21" x14ac:dyDescent="0.25">
      <c r="A66" s="2"/>
      <c r="B66" s="2"/>
      <c r="C66" s="2"/>
      <c r="D66" s="15"/>
      <c r="E66" s="15"/>
      <c r="F66" s="15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3"/>
      <c r="S66" s="13"/>
    </row>
    <row r="67" spans="1:21" s="8" customFormat="1" ht="15.75" thickBot="1" x14ac:dyDescent="0.3">
      <c r="A67" s="58"/>
      <c r="B67" s="58"/>
      <c r="C67" s="58" t="s">
        <v>54</v>
      </c>
      <c r="D67" s="57"/>
      <c r="E67" s="57"/>
      <c r="F67" s="57"/>
      <c r="G67" s="56">
        <v>250000</v>
      </c>
      <c r="H67" s="56"/>
      <c r="I67" s="56"/>
      <c r="J67" s="56">
        <v>0</v>
      </c>
      <c r="K67" s="56">
        <v>0</v>
      </c>
      <c r="L67" s="56">
        <v>250000</v>
      </c>
      <c r="M67" s="56"/>
      <c r="N67" s="56"/>
      <c r="O67" s="56"/>
      <c r="P67" s="56"/>
      <c r="Q67" s="56"/>
      <c r="R67" s="64"/>
      <c r="S67" s="64"/>
      <c r="T67" s="68"/>
      <c r="U67" s="58"/>
    </row>
    <row r="68" spans="1:21" x14ac:dyDescent="0.25">
      <c r="A68" s="16"/>
      <c r="B68" s="16"/>
      <c r="C68" s="16"/>
      <c r="D68" s="20"/>
      <c r="E68" s="20"/>
      <c r="F68" s="20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8"/>
      <c r="S68" s="18"/>
      <c r="T68" s="17"/>
      <c r="U68" s="16"/>
    </row>
    <row r="69" spans="1:21" x14ac:dyDescent="0.25">
      <c r="A69" s="2"/>
      <c r="B69" s="2"/>
      <c r="C69" s="2"/>
      <c r="D69" s="15"/>
      <c r="E69" s="15"/>
      <c r="F69" s="15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3"/>
      <c r="S69" s="13"/>
    </row>
    <row r="70" spans="1:21" x14ac:dyDescent="0.25">
      <c r="A70" s="2"/>
      <c r="B70" s="2"/>
      <c r="C70" s="10" t="s">
        <v>55</v>
      </c>
      <c r="D70" s="15"/>
      <c r="E70" s="15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3"/>
      <c r="S70" s="13"/>
    </row>
    <row r="71" spans="1:21" x14ac:dyDescent="0.25">
      <c r="A71" s="2"/>
      <c r="B71" s="2"/>
      <c r="C71" s="2"/>
      <c r="D71" s="15"/>
      <c r="E71" s="15"/>
      <c r="F71" s="15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3"/>
      <c r="S71" s="13"/>
    </row>
    <row r="72" spans="1:21" x14ac:dyDescent="0.25">
      <c r="A72" s="2"/>
      <c r="B72" s="2"/>
      <c r="C72" s="2"/>
      <c r="D72" s="15"/>
      <c r="E72" s="15"/>
      <c r="F72" s="15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3"/>
      <c r="S72" s="13"/>
    </row>
    <row r="73" spans="1:21" x14ac:dyDescent="0.25">
      <c r="A73" s="2"/>
      <c r="B73" s="2"/>
      <c r="C73" s="2" t="s">
        <v>56</v>
      </c>
      <c r="D73" s="15"/>
      <c r="E73" s="15"/>
      <c r="F73" s="15"/>
      <c r="G73" s="14">
        <v>0</v>
      </c>
      <c r="H73" s="14">
        <v>0</v>
      </c>
      <c r="I73" s="14"/>
      <c r="J73" s="14"/>
      <c r="K73" s="14"/>
      <c r="L73" s="14"/>
      <c r="M73" s="14"/>
      <c r="N73" s="14"/>
      <c r="O73" s="14"/>
      <c r="P73" s="14"/>
      <c r="Q73" s="14"/>
      <c r="R73" s="13"/>
      <c r="S73" s="13"/>
    </row>
    <row r="74" spans="1:21" x14ac:dyDescent="0.25">
      <c r="A74" s="2"/>
      <c r="B74" s="2"/>
      <c r="C74" s="2"/>
      <c r="D74" s="15"/>
      <c r="E74" s="15"/>
      <c r="F74" s="15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3"/>
      <c r="S74" s="13"/>
    </row>
    <row r="75" spans="1:21" x14ac:dyDescent="0.25">
      <c r="A75" s="2"/>
      <c r="B75" s="39"/>
      <c r="C75" s="38" t="s">
        <v>57</v>
      </c>
      <c r="D75" s="37"/>
      <c r="E75" s="37"/>
      <c r="F75" s="37"/>
      <c r="G75" s="36">
        <v>0</v>
      </c>
      <c r="H75" s="36"/>
      <c r="I75" s="36">
        <v>0</v>
      </c>
      <c r="J75" s="36"/>
      <c r="K75" s="36"/>
      <c r="L75" s="36"/>
      <c r="M75" s="36"/>
      <c r="N75" s="36"/>
      <c r="O75" s="36"/>
      <c r="P75" s="36"/>
      <c r="Q75" s="36"/>
      <c r="R75" s="35"/>
      <c r="S75" s="35"/>
      <c r="T75" s="75"/>
      <c r="U75" s="39"/>
    </row>
    <row r="76" spans="1:21" ht="15.75" thickBot="1" x14ac:dyDescent="0.3">
      <c r="A76" s="2"/>
      <c r="B76" s="16"/>
      <c r="C76" s="74"/>
      <c r="D76" s="25"/>
      <c r="E76" s="25"/>
      <c r="F76" s="25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3"/>
      <c r="S76" s="23"/>
      <c r="T76" s="22"/>
      <c r="U76" s="74"/>
    </row>
    <row r="77" spans="1:21" s="8" customFormat="1" ht="15.75" thickBot="1" x14ac:dyDescent="0.3">
      <c r="A77" s="10"/>
      <c r="B77" s="38"/>
      <c r="C77" s="73" t="s">
        <v>58</v>
      </c>
      <c r="D77" s="72"/>
      <c r="E77" s="72"/>
      <c r="F77" s="72"/>
      <c r="G77" s="71">
        <v>550000</v>
      </c>
      <c r="H77" s="71"/>
      <c r="I77" s="71">
        <v>0</v>
      </c>
      <c r="J77" s="71">
        <v>0</v>
      </c>
      <c r="K77" s="71">
        <v>0</v>
      </c>
      <c r="L77" s="71">
        <v>550000</v>
      </c>
      <c r="M77" s="71"/>
      <c r="N77" s="71"/>
      <c r="O77" s="71">
        <f>SUM(O35+O40+O56)</f>
        <v>1000000</v>
      </c>
      <c r="P77" s="71">
        <f>SUM(P35+P40+P56)</f>
        <v>1000000</v>
      </c>
      <c r="Q77" s="71" t="s">
        <v>38</v>
      </c>
      <c r="R77" s="71">
        <f t="shared" ref="R77:T77" si="0">SUM(R35+R40+R56)</f>
        <v>0</v>
      </c>
      <c r="S77" s="71">
        <f t="shared" si="0"/>
        <v>0</v>
      </c>
      <c r="T77" s="71">
        <f t="shared" si="0"/>
        <v>0</v>
      </c>
      <c r="U77" s="71"/>
    </row>
    <row r="78" spans="1:21" x14ac:dyDescent="0.25">
      <c r="A78" s="2"/>
      <c r="B78" s="16"/>
      <c r="C78" s="16"/>
      <c r="D78" s="20"/>
      <c r="E78" s="20"/>
      <c r="F78" s="20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8"/>
      <c r="S78" s="18"/>
      <c r="T78" s="17"/>
      <c r="U78" s="16"/>
    </row>
    <row r="79" spans="1:21" x14ac:dyDescent="0.25">
      <c r="A79" s="2"/>
      <c r="B79" s="2"/>
      <c r="C79" s="10" t="s">
        <v>59</v>
      </c>
      <c r="D79" s="15"/>
      <c r="E79" s="15"/>
      <c r="F79" s="15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3"/>
      <c r="S79" s="13"/>
    </row>
    <row r="80" spans="1:21" x14ac:dyDescent="0.25">
      <c r="A80" s="2"/>
      <c r="B80" s="2"/>
      <c r="C80" s="10"/>
      <c r="D80" s="15"/>
      <c r="E80" s="15"/>
      <c r="F80" s="15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3"/>
      <c r="S80" s="13"/>
    </row>
    <row r="81" spans="1:21" x14ac:dyDescent="0.25">
      <c r="A81" s="2"/>
      <c r="B81" s="2"/>
      <c r="C81" s="10" t="s">
        <v>60</v>
      </c>
      <c r="D81" s="15"/>
      <c r="E81" s="15"/>
      <c r="F81" s="15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3"/>
      <c r="S81" s="13"/>
    </row>
    <row r="82" spans="1:21" x14ac:dyDescent="0.25">
      <c r="A82" s="2"/>
      <c r="B82" s="2"/>
      <c r="C82" s="2"/>
      <c r="D82" s="15"/>
      <c r="E82" s="15"/>
      <c r="F82" s="15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3"/>
      <c r="S82" s="13"/>
    </row>
    <row r="83" spans="1:21" x14ac:dyDescent="0.25">
      <c r="A83" s="2"/>
      <c r="B83" s="2"/>
      <c r="C83" s="2"/>
      <c r="D83" s="15"/>
      <c r="E83" s="15"/>
      <c r="F83" s="15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3"/>
      <c r="S83" s="13"/>
    </row>
    <row r="84" spans="1:21" x14ac:dyDescent="0.25">
      <c r="A84" s="2"/>
      <c r="B84" s="2"/>
      <c r="C84" s="2"/>
      <c r="D84" s="15"/>
      <c r="E84" s="15"/>
      <c r="F84" s="15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3"/>
      <c r="S84" s="13"/>
    </row>
    <row r="85" spans="1:21" x14ac:dyDescent="0.25">
      <c r="A85" s="2"/>
      <c r="B85" s="2"/>
      <c r="C85" s="10" t="s">
        <v>61</v>
      </c>
      <c r="D85" s="15"/>
      <c r="E85" s="15"/>
      <c r="F85" s="15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3"/>
      <c r="S85" s="13"/>
    </row>
    <row r="86" spans="1:21" x14ac:dyDescent="0.25">
      <c r="A86" s="2"/>
      <c r="B86" s="2"/>
      <c r="C86" s="2"/>
      <c r="D86" s="15"/>
      <c r="E86" s="15"/>
      <c r="F86" s="15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3"/>
      <c r="S86" s="13"/>
    </row>
    <row r="87" spans="1:21" x14ac:dyDescent="0.25">
      <c r="A87" s="2"/>
      <c r="B87" s="2"/>
      <c r="C87" s="2" t="s">
        <v>62</v>
      </c>
      <c r="D87" s="15"/>
      <c r="E87" s="15"/>
      <c r="F87" s="15"/>
      <c r="G87" s="14">
        <v>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3"/>
      <c r="S87" s="13"/>
    </row>
    <row r="88" spans="1:21" x14ac:dyDescent="0.25">
      <c r="A88" s="2"/>
      <c r="B88" s="2"/>
      <c r="C88" s="2"/>
      <c r="D88" s="15"/>
      <c r="E88" s="15"/>
      <c r="F88" s="15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3"/>
      <c r="S88" s="13"/>
    </row>
    <row r="89" spans="1:21" s="8" customFormat="1" x14ac:dyDescent="0.25">
      <c r="A89" s="10"/>
      <c r="B89" s="10"/>
      <c r="C89" s="10" t="s">
        <v>63</v>
      </c>
      <c r="D89" s="12"/>
      <c r="E89" s="12"/>
      <c r="F89" s="12"/>
      <c r="G89" s="11">
        <v>0</v>
      </c>
      <c r="H89" s="11"/>
      <c r="I89" s="11"/>
      <c r="J89" s="11">
        <v>0</v>
      </c>
      <c r="K89" s="11"/>
      <c r="L89" s="11">
        <v>0</v>
      </c>
      <c r="M89" s="11"/>
      <c r="N89" s="11"/>
      <c r="O89" s="11"/>
      <c r="P89" s="11"/>
      <c r="Q89" s="11"/>
      <c r="R89" s="48"/>
      <c r="S89" s="48"/>
      <c r="T89" s="70"/>
      <c r="U89" s="10"/>
    </row>
    <row r="90" spans="1:21" x14ac:dyDescent="0.25">
      <c r="A90" s="2"/>
      <c r="B90" s="2"/>
      <c r="C90" s="2"/>
      <c r="D90" s="15"/>
      <c r="E90" s="15"/>
      <c r="F90" s="15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3"/>
      <c r="S90" s="13"/>
    </row>
    <row r="91" spans="1:21" x14ac:dyDescent="0.25">
      <c r="A91" s="2"/>
      <c r="B91" s="2"/>
      <c r="C91" s="2"/>
      <c r="D91" s="15"/>
      <c r="E91" s="15"/>
      <c r="F91" s="15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3"/>
      <c r="S91" s="13"/>
    </row>
    <row r="92" spans="1:21" x14ac:dyDescent="0.25">
      <c r="A92" s="2"/>
      <c r="B92" s="2"/>
      <c r="C92" s="2"/>
      <c r="D92" s="15"/>
      <c r="E92" s="15"/>
      <c r="F92" s="15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3"/>
      <c r="S92" s="13"/>
    </row>
    <row r="93" spans="1:21" x14ac:dyDescent="0.25">
      <c r="A93" s="2"/>
      <c r="B93" s="2"/>
      <c r="C93" s="10" t="s">
        <v>64</v>
      </c>
      <c r="D93" s="15"/>
      <c r="E93" s="15"/>
      <c r="F93" s="15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3"/>
      <c r="S93" s="13"/>
    </row>
    <row r="94" spans="1:21" x14ac:dyDescent="0.25">
      <c r="A94" s="2"/>
      <c r="B94" s="2"/>
      <c r="C94" s="2"/>
      <c r="D94" s="15"/>
      <c r="E94" s="15"/>
      <c r="F94" s="15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3"/>
      <c r="S94" s="13"/>
    </row>
    <row r="95" spans="1:21" x14ac:dyDescent="0.25">
      <c r="A95" s="2"/>
      <c r="B95" s="2"/>
      <c r="C95" s="2"/>
      <c r="D95" s="15"/>
      <c r="E95" s="15"/>
      <c r="F95" s="15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3"/>
      <c r="S95" s="13"/>
    </row>
    <row r="96" spans="1:21" x14ac:dyDescent="0.25">
      <c r="A96" s="59" t="s">
        <v>427</v>
      </c>
      <c r="B96" s="2" t="s">
        <v>65</v>
      </c>
      <c r="C96" s="2" t="s">
        <v>66</v>
      </c>
      <c r="D96" s="15">
        <v>33</v>
      </c>
      <c r="E96" s="15" t="s">
        <v>36</v>
      </c>
      <c r="F96" s="15" t="s">
        <v>37</v>
      </c>
      <c r="G96" s="14">
        <v>2590253</v>
      </c>
      <c r="H96" s="14">
        <v>10620444.83</v>
      </c>
      <c r="I96" s="14"/>
      <c r="J96" s="14"/>
      <c r="K96" s="14">
        <v>2590253</v>
      </c>
      <c r="L96" s="14"/>
      <c r="M96" s="14" t="s">
        <v>67</v>
      </c>
      <c r="N96" s="14"/>
      <c r="O96" s="14"/>
      <c r="P96" s="14"/>
      <c r="Q96" s="14"/>
      <c r="R96" s="13"/>
      <c r="S96" s="13"/>
    </row>
    <row r="97" spans="1:21" x14ac:dyDescent="0.25">
      <c r="A97" s="59" t="s">
        <v>426</v>
      </c>
      <c r="B97" s="2"/>
      <c r="C97" s="2" t="s">
        <v>66</v>
      </c>
      <c r="D97" s="15">
        <v>33</v>
      </c>
      <c r="E97" s="15" t="s">
        <v>36</v>
      </c>
      <c r="F97" s="15" t="s">
        <v>37</v>
      </c>
      <c r="G97" s="14">
        <v>0</v>
      </c>
      <c r="H97" s="14">
        <v>4996000</v>
      </c>
      <c r="I97" s="14"/>
      <c r="J97" s="14"/>
      <c r="K97" s="14">
        <f>H97</f>
        <v>4996000</v>
      </c>
      <c r="L97" s="14"/>
      <c r="M97" s="14" t="s">
        <v>68</v>
      </c>
      <c r="N97" s="14"/>
      <c r="O97" s="14"/>
      <c r="P97" s="14">
        <v>566100</v>
      </c>
      <c r="Q97" s="14" t="s">
        <v>67</v>
      </c>
      <c r="R97" s="13"/>
      <c r="S97" s="13"/>
    </row>
    <row r="98" spans="1:21" x14ac:dyDescent="0.25">
      <c r="A98" s="59" t="s">
        <v>425</v>
      </c>
      <c r="B98" s="2"/>
      <c r="C98" s="2" t="s">
        <v>424</v>
      </c>
      <c r="D98" s="15"/>
      <c r="E98" s="15" t="s">
        <v>36</v>
      </c>
      <c r="F98" s="15" t="s">
        <v>37</v>
      </c>
      <c r="G98" s="14"/>
      <c r="H98" s="14"/>
      <c r="I98" s="14"/>
      <c r="J98" s="14"/>
      <c r="K98" s="14"/>
      <c r="L98" s="14"/>
      <c r="M98" s="14"/>
      <c r="N98" s="14"/>
      <c r="O98" s="14">
        <v>7223512</v>
      </c>
      <c r="P98" s="14">
        <v>7223512</v>
      </c>
      <c r="Q98" s="14" t="s">
        <v>67</v>
      </c>
      <c r="R98" s="13"/>
      <c r="S98" s="13"/>
    </row>
    <row r="99" spans="1:21" x14ac:dyDescent="0.25">
      <c r="A99" s="2"/>
      <c r="B99" s="2"/>
      <c r="C99" s="2"/>
      <c r="D99" s="15"/>
      <c r="E99" s="15"/>
      <c r="F99" s="1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3"/>
      <c r="S99" s="13"/>
    </row>
    <row r="100" spans="1:21" s="8" customFormat="1" ht="15.75" thickBot="1" x14ac:dyDescent="0.3">
      <c r="A100" s="58"/>
      <c r="B100" s="58"/>
      <c r="C100" s="58" t="s">
        <v>63</v>
      </c>
      <c r="D100" s="57"/>
      <c r="E100" s="57"/>
      <c r="F100" s="57"/>
      <c r="G100" s="56">
        <f>G96</f>
        <v>2590253</v>
      </c>
      <c r="H100" s="56">
        <f>SUM(H96:H97)</f>
        <v>15616444.83</v>
      </c>
      <c r="I100" s="56"/>
      <c r="J100" s="56"/>
      <c r="K100" s="56">
        <f>SUM(K96:K97)</f>
        <v>7586253</v>
      </c>
      <c r="L100" s="56">
        <v>0</v>
      </c>
      <c r="M100" s="56"/>
      <c r="N100" s="56"/>
      <c r="O100" s="56">
        <f>SUM(O96:O98)</f>
        <v>7223512</v>
      </c>
      <c r="P100" s="56">
        <f>SUM(P96:P98)</f>
        <v>7789612</v>
      </c>
      <c r="Q100" s="56"/>
      <c r="R100" s="64">
        <v>0</v>
      </c>
      <c r="S100" s="64"/>
      <c r="T100" s="68"/>
      <c r="U100" s="58"/>
    </row>
    <row r="101" spans="1:21" x14ac:dyDescent="0.25">
      <c r="A101" s="16"/>
      <c r="B101" s="16"/>
      <c r="C101" s="16"/>
      <c r="D101" s="20"/>
      <c r="E101" s="20"/>
      <c r="F101" s="20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8"/>
      <c r="S101" s="18"/>
      <c r="T101" s="17"/>
      <c r="U101" s="16"/>
    </row>
    <row r="102" spans="1:21" x14ac:dyDescent="0.25">
      <c r="A102" s="2"/>
      <c r="B102" s="2"/>
      <c r="C102" s="10" t="s">
        <v>69</v>
      </c>
      <c r="D102" s="15"/>
      <c r="E102" s="15"/>
      <c r="F102" s="1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3"/>
      <c r="S102" s="13"/>
    </row>
    <row r="103" spans="1:21" x14ac:dyDescent="0.25">
      <c r="A103" s="2"/>
      <c r="B103" s="2"/>
      <c r="C103" s="2"/>
      <c r="D103" s="15"/>
      <c r="E103" s="15"/>
      <c r="F103" s="15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3"/>
      <c r="S103" s="13"/>
    </row>
    <row r="104" spans="1:21" x14ac:dyDescent="0.25">
      <c r="A104" s="59" t="s">
        <v>70</v>
      </c>
      <c r="B104" s="95" t="s">
        <v>65</v>
      </c>
      <c r="C104" s="2" t="s">
        <v>71</v>
      </c>
      <c r="D104" s="15">
        <v>12</v>
      </c>
      <c r="E104" s="15" t="s">
        <v>72</v>
      </c>
      <c r="F104" s="15" t="s">
        <v>73</v>
      </c>
      <c r="G104" s="14">
        <v>6000000</v>
      </c>
      <c r="H104" s="14">
        <v>6258966.0999999996</v>
      </c>
      <c r="I104" s="14"/>
      <c r="J104" s="14"/>
      <c r="K104" s="14">
        <f>H104</f>
        <v>6258966.0999999996</v>
      </c>
      <c r="L104" s="14"/>
      <c r="M104" s="14" t="s">
        <v>67</v>
      </c>
      <c r="N104" s="14"/>
      <c r="O104" s="14"/>
      <c r="P104" s="14">
        <v>328547.3</v>
      </c>
      <c r="Q104" s="14"/>
      <c r="R104" s="13"/>
      <c r="S104" s="13"/>
    </row>
    <row r="105" spans="1:21" x14ac:dyDescent="0.25">
      <c r="A105" s="59" t="s">
        <v>74</v>
      </c>
      <c r="B105" s="96"/>
      <c r="C105" s="2" t="s">
        <v>75</v>
      </c>
      <c r="D105" s="15">
        <v>3</v>
      </c>
      <c r="E105" s="15" t="s">
        <v>76</v>
      </c>
      <c r="F105" s="15" t="s">
        <v>77</v>
      </c>
      <c r="G105" s="14">
        <v>6000000</v>
      </c>
      <c r="H105" s="14">
        <v>6244606.6299999999</v>
      </c>
      <c r="I105" s="14"/>
      <c r="J105" s="14"/>
      <c r="K105" s="14">
        <f t="shared" ref="K105:K108" si="1">H105</f>
        <v>6244606.6299999999</v>
      </c>
      <c r="L105" s="14"/>
      <c r="M105" s="14" t="s">
        <v>67</v>
      </c>
      <c r="N105" s="14"/>
      <c r="O105" s="14"/>
      <c r="P105" s="14"/>
      <c r="Q105" s="14"/>
      <c r="R105" s="13"/>
      <c r="S105" s="13"/>
    </row>
    <row r="106" spans="1:21" x14ac:dyDescent="0.25">
      <c r="A106" s="59" t="s">
        <v>423</v>
      </c>
      <c r="B106" s="96"/>
      <c r="C106" s="2" t="s">
        <v>78</v>
      </c>
      <c r="D106" s="15"/>
      <c r="E106" s="15" t="s">
        <v>79</v>
      </c>
      <c r="F106" s="15"/>
      <c r="G106" s="14">
        <v>0</v>
      </c>
      <c r="H106" s="14">
        <v>302338.27</v>
      </c>
      <c r="I106" s="14"/>
      <c r="J106" s="14"/>
      <c r="K106" s="14">
        <f t="shared" si="1"/>
        <v>302338.27</v>
      </c>
      <c r="L106" s="14"/>
      <c r="M106" s="14" t="s">
        <v>67</v>
      </c>
      <c r="N106" s="14"/>
      <c r="O106" s="14"/>
      <c r="P106" s="14"/>
      <c r="Q106" s="14"/>
      <c r="R106" s="13"/>
      <c r="S106" s="13"/>
    </row>
    <row r="107" spans="1:21" x14ac:dyDescent="0.25">
      <c r="A107" s="59" t="s">
        <v>422</v>
      </c>
      <c r="B107" s="96"/>
      <c r="C107" s="2" t="s">
        <v>80</v>
      </c>
      <c r="D107" s="15"/>
      <c r="E107" s="15" t="s">
        <v>81</v>
      </c>
      <c r="F107" s="15"/>
      <c r="G107" s="14">
        <v>0</v>
      </c>
      <c r="H107" s="14">
        <v>1738343.2050000003</v>
      </c>
      <c r="I107" s="14"/>
      <c r="J107" s="14"/>
      <c r="K107" s="14">
        <f t="shared" si="1"/>
        <v>1738343.2050000003</v>
      </c>
      <c r="L107" s="14"/>
      <c r="M107" s="14" t="s">
        <v>67</v>
      </c>
      <c r="N107" s="14"/>
      <c r="O107" s="14"/>
      <c r="P107" s="14"/>
      <c r="Q107" s="14"/>
      <c r="R107" s="13"/>
      <c r="S107" s="13"/>
    </row>
    <row r="108" spans="1:21" x14ac:dyDescent="0.25">
      <c r="A108" s="59" t="s">
        <v>421</v>
      </c>
      <c r="B108" s="96"/>
      <c r="C108" s="2" t="s">
        <v>82</v>
      </c>
      <c r="D108" s="15"/>
      <c r="E108" s="15" t="s">
        <v>83</v>
      </c>
      <c r="F108" s="15"/>
      <c r="G108" s="14">
        <v>0</v>
      </c>
      <c r="H108" s="14">
        <v>566055.07999999996</v>
      </c>
      <c r="I108" s="14"/>
      <c r="J108" s="14"/>
      <c r="K108" s="14">
        <f t="shared" si="1"/>
        <v>566055.07999999996</v>
      </c>
      <c r="L108" s="14"/>
      <c r="M108" s="14" t="s">
        <v>67</v>
      </c>
      <c r="N108" s="14"/>
      <c r="O108" s="14"/>
      <c r="P108" s="14"/>
      <c r="Q108" s="14"/>
      <c r="R108" s="13"/>
      <c r="S108" s="13"/>
    </row>
    <row r="109" spans="1:21" x14ac:dyDescent="0.25">
      <c r="A109" s="59" t="s">
        <v>84</v>
      </c>
      <c r="B109" s="97"/>
      <c r="C109" s="2" t="s">
        <v>85</v>
      </c>
      <c r="D109" s="15">
        <v>17</v>
      </c>
      <c r="E109" s="15" t="s">
        <v>86</v>
      </c>
      <c r="F109" s="15" t="s">
        <v>87</v>
      </c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3">
        <v>8000000</v>
      </c>
      <c r="S109" s="13" t="s">
        <v>67</v>
      </c>
    </row>
    <row r="110" spans="1:21" x14ac:dyDescent="0.25">
      <c r="A110" s="2"/>
      <c r="B110" s="2"/>
      <c r="C110" s="2"/>
      <c r="D110" s="15"/>
      <c r="E110" s="15"/>
      <c r="F110" s="15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3"/>
      <c r="S110" s="13"/>
    </row>
    <row r="111" spans="1:21" s="8" customFormat="1" ht="15.75" thickBot="1" x14ac:dyDescent="0.3">
      <c r="A111" s="58"/>
      <c r="B111" s="58"/>
      <c r="C111" s="58" t="s">
        <v>63</v>
      </c>
      <c r="D111" s="57"/>
      <c r="E111" s="57"/>
      <c r="F111" s="57"/>
      <c r="G111" s="56">
        <f>SUM(G104:G108)</f>
        <v>12000000</v>
      </c>
      <c r="H111" s="56">
        <f>SUM(H104:H108)</f>
        <v>15110309.285</v>
      </c>
      <c r="I111" s="56"/>
      <c r="J111" s="56">
        <v>0</v>
      </c>
      <c r="K111" s="56">
        <f>SUM(K104:K108)</f>
        <v>15110309.285</v>
      </c>
      <c r="L111" s="56">
        <v>0</v>
      </c>
      <c r="M111" s="56"/>
      <c r="N111" s="56"/>
      <c r="O111" s="64">
        <f>SUM(O109)</f>
        <v>0</v>
      </c>
      <c r="P111" s="64">
        <f>SUM(P104:P109)</f>
        <v>328547.3</v>
      </c>
      <c r="Q111" s="56"/>
      <c r="R111" s="64">
        <f>SUM(R109)</f>
        <v>8000000</v>
      </c>
      <c r="S111" s="64"/>
      <c r="T111" s="64">
        <f>SUM(T109)</f>
        <v>0</v>
      </c>
      <c r="U111" s="58"/>
    </row>
    <row r="112" spans="1:21" x14ac:dyDescent="0.25">
      <c r="A112" s="16"/>
      <c r="B112" s="16"/>
      <c r="C112" s="16"/>
      <c r="D112" s="20"/>
      <c r="E112" s="20"/>
      <c r="F112" s="20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8"/>
      <c r="S112" s="18"/>
      <c r="T112" s="17"/>
      <c r="U112" s="16"/>
    </row>
    <row r="113" spans="1:21" x14ac:dyDescent="0.25">
      <c r="A113" s="2"/>
      <c r="B113" s="2"/>
      <c r="C113" s="2"/>
      <c r="D113" s="15"/>
      <c r="E113" s="15"/>
      <c r="F113" s="15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3"/>
      <c r="S113" s="13"/>
    </row>
    <row r="114" spans="1:21" x14ac:dyDescent="0.25">
      <c r="A114" s="2"/>
      <c r="B114" s="2"/>
      <c r="C114" s="10" t="s">
        <v>33</v>
      </c>
      <c r="D114" s="15"/>
      <c r="E114" s="15"/>
      <c r="F114" s="15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3"/>
      <c r="S114" s="13"/>
    </row>
    <row r="115" spans="1:21" x14ac:dyDescent="0.25">
      <c r="A115" s="2"/>
      <c r="B115" s="2"/>
      <c r="C115" s="2"/>
      <c r="D115" s="15"/>
      <c r="E115" s="15"/>
      <c r="F115" s="15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3"/>
      <c r="S115" s="13"/>
    </row>
    <row r="116" spans="1:21" x14ac:dyDescent="0.25">
      <c r="A116" s="2"/>
      <c r="B116" s="2"/>
      <c r="C116" s="2" t="s">
        <v>88</v>
      </c>
      <c r="D116" s="15"/>
      <c r="E116" s="15"/>
      <c r="F116" s="15"/>
      <c r="G116" s="14"/>
      <c r="H116" s="14"/>
      <c r="I116" s="14"/>
      <c r="J116" s="14">
        <v>0</v>
      </c>
      <c r="K116" s="14"/>
      <c r="L116" s="14"/>
      <c r="M116" s="14"/>
      <c r="N116" s="14"/>
      <c r="O116" s="14"/>
      <c r="P116" s="14"/>
      <c r="Q116" s="14"/>
      <c r="R116" s="13"/>
      <c r="S116" s="13"/>
    </row>
    <row r="117" spans="1:21" x14ac:dyDescent="0.25">
      <c r="A117" s="2"/>
      <c r="B117" s="2"/>
      <c r="C117" s="2"/>
      <c r="D117" s="15"/>
      <c r="E117" s="15"/>
      <c r="F117" s="15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3"/>
      <c r="S117" s="13"/>
    </row>
    <row r="118" spans="1:21" x14ac:dyDescent="0.25">
      <c r="A118" s="2"/>
      <c r="B118" s="2"/>
      <c r="C118" s="2"/>
      <c r="D118" s="15"/>
      <c r="E118" s="15"/>
      <c r="F118" s="15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3"/>
      <c r="S118" s="13"/>
    </row>
    <row r="119" spans="1:21" x14ac:dyDescent="0.25">
      <c r="A119" s="2"/>
      <c r="B119" s="2"/>
      <c r="C119" s="2"/>
      <c r="D119" s="15"/>
      <c r="E119" s="15"/>
      <c r="F119" s="15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3"/>
      <c r="S119" s="13"/>
    </row>
    <row r="120" spans="1:21" s="8" customFormat="1" ht="15.75" thickBot="1" x14ac:dyDescent="0.3">
      <c r="A120" s="58"/>
      <c r="B120" s="58"/>
      <c r="C120" s="58" t="s">
        <v>89</v>
      </c>
      <c r="D120" s="57"/>
      <c r="E120" s="57"/>
      <c r="F120" s="57"/>
      <c r="G120" s="56">
        <v>14590253</v>
      </c>
      <c r="H120" s="56"/>
      <c r="I120" s="56"/>
      <c r="J120" s="56">
        <v>0</v>
      </c>
      <c r="K120" s="56">
        <v>14590253</v>
      </c>
      <c r="L120" s="56">
        <v>0</v>
      </c>
      <c r="M120" s="56"/>
      <c r="N120" s="56"/>
      <c r="O120" s="64">
        <f>SUM(O100+O111)</f>
        <v>7223512</v>
      </c>
      <c r="P120" s="64">
        <f>SUM(P100+P111)</f>
        <v>8118159.2999999998</v>
      </c>
      <c r="Q120" s="56"/>
      <c r="R120" s="64">
        <f>SUM(R100+R111)</f>
        <v>8000000</v>
      </c>
      <c r="S120" s="64">
        <f t="shared" ref="S120:T120" si="2">S111</f>
        <v>0</v>
      </c>
      <c r="T120" s="64">
        <f t="shared" si="2"/>
        <v>0</v>
      </c>
      <c r="U120" s="64"/>
    </row>
    <row r="121" spans="1:21" x14ac:dyDescent="0.25">
      <c r="C121" s="91" t="s">
        <v>5</v>
      </c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62"/>
      <c r="T121" s="7"/>
      <c r="U121" s="6"/>
    </row>
    <row r="122" spans="1:21" x14ac:dyDescent="0.25">
      <c r="C122" s="91" t="s">
        <v>394</v>
      </c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62"/>
      <c r="T122" s="7"/>
      <c r="U122" s="6"/>
    </row>
    <row r="123" spans="1:21" x14ac:dyDescent="0.25">
      <c r="C123" s="8"/>
      <c r="D123" s="61"/>
      <c r="E123" s="61"/>
      <c r="F123" s="61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7"/>
      <c r="U123" s="6"/>
    </row>
    <row r="124" spans="1:21" x14ac:dyDescent="0.25">
      <c r="A124" s="2"/>
      <c r="B124" s="2"/>
      <c r="C124" s="10"/>
      <c r="D124" s="12"/>
      <c r="E124" s="12"/>
      <c r="F124" s="12"/>
      <c r="G124" s="94" t="s">
        <v>7</v>
      </c>
      <c r="H124" s="94"/>
      <c r="I124" s="94"/>
      <c r="J124" s="94"/>
      <c r="K124" s="94"/>
      <c r="L124" s="94"/>
      <c r="M124" s="11"/>
      <c r="N124" s="11"/>
      <c r="O124" s="11"/>
      <c r="P124" s="11"/>
      <c r="Q124" s="11"/>
      <c r="R124" s="48"/>
      <c r="S124" s="48"/>
    </row>
    <row r="125" spans="1:21" x14ac:dyDescent="0.25">
      <c r="A125" s="2"/>
      <c r="B125" s="2"/>
      <c r="C125" s="10" t="s">
        <v>9</v>
      </c>
      <c r="D125" s="12"/>
      <c r="E125" s="12"/>
      <c r="F125" s="12"/>
      <c r="G125" s="11" t="s">
        <v>10</v>
      </c>
      <c r="H125" s="11" t="s">
        <v>11</v>
      </c>
      <c r="I125" s="11" t="s">
        <v>12</v>
      </c>
      <c r="J125" s="11" t="s">
        <v>13</v>
      </c>
      <c r="K125" s="11"/>
      <c r="L125" s="11" t="s">
        <v>14</v>
      </c>
      <c r="M125" s="11" t="s">
        <v>15</v>
      </c>
      <c r="N125" s="11" t="s">
        <v>15</v>
      </c>
      <c r="O125" s="11" t="s">
        <v>16</v>
      </c>
      <c r="P125" s="11"/>
      <c r="Q125" s="11" t="s">
        <v>15</v>
      </c>
      <c r="R125" s="48" t="s">
        <v>16</v>
      </c>
      <c r="S125" s="48"/>
    </row>
    <row r="126" spans="1:21" x14ac:dyDescent="0.25">
      <c r="A126" s="2"/>
      <c r="B126" s="2"/>
      <c r="C126" s="10"/>
      <c r="D126" s="12"/>
      <c r="E126" s="12"/>
      <c r="F126" s="12"/>
      <c r="G126" s="11" t="s">
        <v>16</v>
      </c>
      <c r="H126" s="11" t="s">
        <v>16</v>
      </c>
      <c r="I126" s="11" t="s">
        <v>17</v>
      </c>
      <c r="J126" s="11"/>
      <c r="K126" s="11"/>
      <c r="L126" s="11"/>
      <c r="M126" s="11"/>
      <c r="N126" s="11"/>
      <c r="O126" s="11"/>
      <c r="P126" s="11"/>
      <c r="Q126" s="11"/>
      <c r="R126" s="48"/>
      <c r="S126" s="48"/>
    </row>
    <row r="127" spans="1:21" x14ac:dyDescent="0.25">
      <c r="A127" s="2"/>
      <c r="B127" s="2"/>
      <c r="C127" s="10" t="s">
        <v>18</v>
      </c>
      <c r="D127" s="12" t="s">
        <v>19</v>
      </c>
      <c r="E127" s="12" t="s">
        <v>20</v>
      </c>
      <c r="F127" s="12" t="s">
        <v>21</v>
      </c>
      <c r="G127" s="11" t="s">
        <v>22</v>
      </c>
      <c r="H127" s="11" t="s">
        <v>22</v>
      </c>
      <c r="I127" s="11"/>
      <c r="J127" s="11" t="s">
        <v>23</v>
      </c>
      <c r="K127" s="11" t="s">
        <v>24</v>
      </c>
      <c r="L127" s="11" t="s">
        <v>25</v>
      </c>
      <c r="M127" s="11" t="s">
        <v>26</v>
      </c>
      <c r="N127" s="11" t="s">
        <v>26</v>
      </c>
      <c r="O127" s="11" t="s">
        <v>27</v>
      </c>
      <c r="P127" s="11"/>
      <c r="Q127" s="11" t="s">
        <v>26</v>
      </c>
      <c r="R127" s="48" t="s">
        <v>28</v>
      </c>
      <c r="S127" s="48"/>
    </row>
    <row r="128" spans="1:21" x14ac:dyDescent="0.25">
      <c r="A128" s="2"/>
      <c r="B128" s="2"/>
      <c r="C128" s="10" t="s">
        <v>90</v>
      </c>
      <c r="D128" s="15"/>
      <c r="E128" s="15"/>
      <c r="F128" s="15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3"/>
      <c r="S128" s="13"/>
    </row>
    <row r="129" spans="1:21" x14ac:dyDescent="0.25">
      <c r="A129" s="2"/>
      <c r="B129" s="2"/>
      <c r="C129" s="10"/>
      <c r="D129" s="15"/>
      <c r="E129" s="15"/>
      <c r="F129" s="15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3"/>
      <c r="S129" s="13"/>
    </row>
    <row r="130" spans="1:21" x14ac:dyDescent="0.25">
      <c r="A130" s="2"/>
      <c r="B130" s="2"/>
      <c r="C130" s="10" t="s">
        <v>91</v>
      </c>
      <c r="D130" s="15"/>
      <c r="E130" s="15"/>
      <c r="F130" s="15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3"/>
      <c r="S130" s="13"/>
    </row>
    <row r="131" spans="1:21" x14ac:dyDescent="0.25">
      <c r="A131" s="2"/>
      <c r="B131" s="2"/>
      <c r="C131" s="2"/>
      <c r="D131" s="15"/>
      <c r="E131" s="15"/>
      <c r="F131" s="15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3"/>
      <c r="S131" s="13"/>
    </row>
    <row r="132" spans="1:21" x14ac:dyDescent="0.25">
      <c r="A132" s="2"/>
      <c r="B132" s="2"/>
      <c r="C132" s="10" t="s">
        <v>92</v>
      </c>
      <c r="D132" s="15"/>
      <c r="E132" s="15"/>
      <c r="F132" s="15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3"/>
      <c r="S132" s="13"/>
    </row>
    <row r="133" spans="1:21" x14ac:dyDescent="0.25">
      <c r="A133" s="2"/>
      <c r="B133" s="2"/>
      <c r="C133" s="2"/>
      <c r="D133" s="15"/>
      <c r="E133" s="15"/>
      <c r="F133" s="15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3"/>
      <c r="S133" s="13"/>
    </row>
    <row r="134" spans="1:21" x14ac:dyDescent="0.25">
      <c r="A134" s="2" t="s">
        <v>93</v>
      </c>
      <c r="B134" s="2"/>
      <c r="C134" s="2" t="s">
        <v>94</v>
      </c>
      <c r="D134" s="15">
        <v>33</v>
      </c>
      <c r="E134" s="15" t="s">
        <v>36</v>
      </c>
      <c r="F134" s="15" t="s">
        <v>37</v>
      </c>
      <c r="G134" s="14">
        <v>200000</v>
      </c>
      <c r="H134" s="14">
        <v>200000</v>
      </c>
      <c r="I134" s="14"/>
      <c r="J134" s="14"/>
      <c r="K134" s="14"/>
      <c r="L134" s="14">
        <v>200000</v>
      </c>
      <c r="M134" s="14" t="s">
        <v>38</v>
      </c>
      <c r="N134" s="14" t="s">
        <v>38</v>
      </c>
      <c r="O134" s="14"/>
      <c r="P134" s="14"/>
      <c r="Q134" s="14" t="s">
        <v>38</v>
      </c>
      <c r="R134" s="13"/>
      <c r="S134" s="13"/>
    </row>
    <row r="135" spans="1:21" x14ac:dyDescent="0.25">
      <c r="A135" s="2"/>
      <c r="B135" s="2"/>
      <c r="C135" s="2"/>
      <c r="D135" s="15"/>
      <c r="E135" s="15"/>
      <c r="F135" s="15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3"/>
      <c r="S135" s="13"/>
    </row>
    <row r="136" spans="1:21" x14ac:dyDescent="0.25">
      <c r="A136" s="2"/>
      <c r="B136" s="2"/>
      <c r="C136" s="2"/>
      <c r="D136" s="15"/>
      <c r="E136" s="15"/>
      <c r="F136" s="15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3"/>
      <c r="S136" s="13"/>
    </row>
    <row r="137" spans="1:21" x14ac:dyDescent="0.25">
      <c r="A137" s="2"/>
      <c r="B137" s="2"/>
      <c r="C137" s="10" t="s">
        <v>95</v>
      </c>
      <c r="D137" s="15"/>
      <c r="E137" s="15"/>
      <c r="F137" s="15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3"/>
      <c r="S137" s="13"/>
    </row>
    <row r="138" spans="1:21" x14ac:dyDescent="0.25">
      <c r="A138" s="2"/>
      <c r="B138" s="2"/>
      <c r="C138" s="2"/>
      <c r="D138" s="15"/>
      <c r="E138" s="15"/>
      <c r="F138" s="15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3"/>
      <c r="S138" s="13"/>
    </row>
    <row r="139" spans="1:21" x14ac:dyDescent="0.25">
      <c r="A139" s="2"/>
      <c r="B139" s="2"/>
      <c r="C139" s="2"/>
      <c r="D139" s="15"/>
      <c r="E139" s="15"/>
      <c r="F139" s="15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3"/>
      <c r="S139" s="13"/>
    </row>
    <row r="140" spans="1:21" x14ac:dyDescent="0.25">
      <c r="A140" s="2"/>
      <c r="B140" s="2"/>
      <c r="C140" s="2"/>
      <c r="D140" s="15"/>
      <c r="E140" s="15"/>
      <c r="F140" s="15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3"/>
      <c r="S140" s="13"/>
    </row>
    <row r="141" spans="1:21" x14ac:dyDescent="0.25">
      <c r="A141" s="2" t="s">
        <v>96</v>
      </c>
      <c r="B141" s="2" t="s">
        <v>97</v>
      </c>
      <c r="C141" s="2" t="s">
        <v>1</v>
      </c>
      <c r="D141" s="15">
        <v>33</v>
      </c>
      <c r="E141" s="15" t="s">
        <v>36</v>
      </c>
      <c r="F141" s="15" t="s">
        <v>37</v>
      </c>
      <c r="G141" s="14"/>
      <c r="H141" s="14"/>
      <c r="I141" s="14"/>
      <c r="J141" s="14"/>
      <c r="K141" s="14"/>
      <c r="L141" s="14"/>
      <c r="M141" s="14"/>
      <c r="N141" s="14" t="s">
        <v>67</v>
      </c>
      <c r="O141" s="14">
        <v>9864475</v>
      </c>
      <c r="P141" s="14">
        <f>O141+90934.2</f>
        <v>9955409.1999999993</v>
      </c>
      <c r="Q141" s="14" t="s">
        <v>67</v>
      </c>
      <c r="R141" s="13"/>
      <c r="S141" s="13"/>
    </row>
    <row r="142" spans="1:21" x14ac:dyDescent="0.25">
      <c r="A142" s="2"/>
      <c r="B142" s="2"/>
      <c r="C142" s="2" t="s">
        <v>420</v>
      </c>
      <c r="D142" s="15">
        <v>33</v>
      </c>
      <c r="E142" s="15" t="s">
        <v>36</v>
      </c>
      <c r="F142" s="15" t="s">
        <v>37</v>
      </c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89">
        <v>8976660.1600000001</v>
      </c>
      <c r="S142" s="13" t="s">
        <v>67</v>
      </c>
    </row>
    <row r="143" spans="1:21" x14ac:dyDescent="0.25">
      <c r="A143" s="2"/>
      <c r="B143" s="2"/>
      <c r="C143" s="2" t="s">
        <v>419</v>
      </c>
      <c r="D143" s="15">
        <v>19</v>
      </c>
      <c r="E143" s="15" t="s">
        <v>104</v>
      </c>
      <c r="F143" s="15" t="s">
        <v>227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89">
        <v>9000000</v>
      </c>
      <c r="S143" s="13" t="s">
        <v>67</v>
      </c>
    </row>
    <row r="144" spans="1:21" s="8" customFormat="1" ht="15.75" thickBot="1" x14ac:dyDescent="0.3">
      <c r="A144" s="58"/>
      <c r="B144" s="58"/>
      <c r="C144" s="58" t="s">
        <v>98</v>
      </c>
      <c r="D144" s="57"/>
      <c r="E144" s="57"/>
      <c r="F144" s="57"/>
      <c r="G144" s="56">
        <v>200000</v>
      </c>
      <c r="H144" s="56">
        <v>200000</v>
      </c>
      <c r="I144" s="56"/>
      <c r="J144" s="56">
        <v>0</v>
      </c>
      <c r="K144" s="56">
        <v>0</v>
      </c>
      <c r="L144" s="56">
        <v>200000</v>
      </c>
      <c r="M144" s="56"/>
      <c r="N144" s="56"/>
      <c r="O144" s="56">
        <f>O141</f>
        <v>9864475</v>
      </c>
      <c r="P144" s="56">
        <f>P141</f>
        <v>9955409.1999999993</v>
      </c>
      <c r="Q144" s="56"/>
      <c r="R144" s="56">
        <f>SUM(R141:R143)</f>
        <v>17976660.16</v>
      </c>
      <c r="S144" s="64"/>
      <c r="T144" s="56">
        <f>SUM(T141:T143)</f>
        <v>0</v>
      </c>
      <c r="U144" s="58"/>
    </row>
    <row r="145" spans="1:21" x14ac:dyDescent="0.25">
      <c r="A145" s="16"/>
      <c r="B145" s="16"/>
      <c r="C145" s="16"/>
      <c r="D145" s="20"/>
      <c r="E145" s="20"/>
      <c r="F145" s="20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8"/>
      <c r="S145" s="18"/>
      <c r="T145" s="17"/>
      <c r="U145" s="16"/>
    </row>
    <row r="146" spans="1:21" x14ac:dyDescent="0.25">
      <c r="A146" s="2"/>
      <c r="B146" s="2"/>
      <c r="C146" s="10" t="s">
        <v>99</v>
      </c>
      <c r="D146" s="15"/>
      <c r="E146" s="15"/>
      <c r="F146" s="15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3"/>
      <c r="S146" s="13"/>
    </row>
    <row r="147" spans="1:21" x14ac:dyDescent="0.25">
      <c r="A147" s="2"/>
      <c r="B147" s="2"/>
      <c r="C147" s="10"/>
      <c r="D147" s="15"/>
      <c r="E147" s="15"/>
      <c r="F147" s="15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3"/>
      <c r="S147" s="13"/>
    </row>
    <row r="148" spans="1:21" x14ac:dyDescent="0.25">
      <c r="A148" s="2"/>
      <c r="B148" s="2"/>
      <c r="C148" s="10" t="s">
        <v>100</v>
      </c>
      <c r="D148" s="15"/>
      <c r="E148" s="15"/>
      <c r="F148" s="15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3"/>
      <c r="S148" s="13"/>
    </row>
    <row r="149" spans="1:21" x14ac:dyDescent="0.25">
      <c r="A149" s="2"/>
      <c r="B149" s="2"/>
      <c r="C149" s="2"/>
      <c r="D149" s="15"/>
      <c r="E149" s="15"/>
      <c r="F149" s="15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3"/>
      <c r="S149" s="13"/>
    </row>
    <row r="150" spans="1:21" ht="21" customHeight="1" x14ac:dyDescent="0.25">
      <c r="A150" s="2" t="s">
        <v>101</v>
      </c>
      <c r="B150" s="69" t="s">
        <v>102</v>
      </c>
      <c r="C150" s="2" t="s">
        <v>103</v>
      </c>
      <c r="D150" s="15">
        <v>19</v>
      </c>
      <c r="E150" s="15" t="s">
        <v>104</v>
      </c>
      <c r="F150" s="15" t="s">
        <v>37</v>
      </c>
      <c r="G150" s="14">
        <v>15796909</v>
      </c>
      <c r="H150" s="14">
        <v>0</v>
      </c>
      <c r="I150" s="14"/>
      <c r="J150" s="14"/>
      <c r="K150" s="14">
        <v>15796909</v>
      </c>
      <c r="L150" s="14"/>
      <c r="M150" s="14" t="s">
        <v>67</v>
      </c>
      <c r="N150" s="14" t="s">
        <v>67</v>
      </c>
      <c r="O150" s="14">
        <v>3000000</v>
      </c>
      <c r="P150" s="14"/>
      <c r="Q150" s="14" t="s">
        <v>67</v>
      </c>
      <c r="R150" s="89">
        <f>19515202.16-411047-16027308</f>
        <v>3076847.16</v>
      </c>
      <c r="S150" s="13" t="s">
        <v>67</v>
      </c>
      <c r="T150" s="90">
        <v>20000000</v>
      </c>
      <c r="U150" s="2" t="s">
        <v>67</v>
      </c>
    </row>
    <row r="151" spans="1:21" x14ac:dyDescent="0.25">
      <c r="A151" s="2"/>
      <c r="B151" s="2"/>
      <c r="C151" s="2"/>
      <c r="D151" s="15"/>
      <c r="E151" s="15"/>
      <c r="F151" s="15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3"/>
      <c r="S151" s="13"/>
    </row>
    <row r="152" spans="1:21" s="8" customFormat="1" ht="15.75" thickBot="1" x14ac:dyDescent="0.3">
      <c r="A152" s="58"/>
      <c r="B152" s="58"/>
      <c r="C152" s="58" t="s">
        <v>105</v>
      </c>
      <c r="D152" s="57"/>
      <c r="E152" s="57"/>
      <c r="F152" s="57"/>
      <c r="G152" s="56">
        <f>G150</f>
        <v>15796909</v>
      </c>
      <c r="H152" s="56">
        <f t="shared" ref="H152:T152" si="3">H150</f>
        <v>0</v>
      </c>
      <c r="I152" s="56"/>
      <c r="J152" s="56"/>
      <c r="K152" s="56">
        <f t="shared" si="3"/>
        <v>15796909</v>
      </c>
      <c r="L152" s="56"/>
      <c r="M152" s="56"/>
      <c r="N152" s="56"/>
      <c r="O152" s="56">
        <f t="shared" si="3"/>
        <v>3000000</v>
      </c>
      <c r="P152" s="56">
        <f t="shared" si="3"/>
        <v>0</v>
      </c>
      <c r="Q152" s="56" t="str">
        <f t="shared" si="3"/>
        <v>MIG</v>
      </c>
      <c r="R152" s="64">
        <f t="shared" si="3"/>
        <v>3076847.16</v>
      </c>
      <c r="S152" s="64"/>
      <c r="T152" s="64">
        <f t="shared" si="3"/>
        <v>20000000</v>
      </c>
      <c r="U152" s="58"/>
    </row>
    <row r="153" spans="1:21" x14ac:dyDescent="0.25">
      <c r="A153" s="16"/>
      <c r="B153" s="16"/>
      <c r="C153" s="16"/>
      <c r="D153" s="20"/>
      <c r="E153" s="20"/>
      <c r="F153" s="20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8"/>
      <c r="S153" s="18"/>
      <c r="T153" s="17"/>
      <c r="U153" s="16"/>
    </row>
    <row r="154" spans="1:21" x14ac:dyDescent="0.25">
      <c r="A154" s="2"/>
      <c r="B154" s="2"/>
      <c r="C154" s="10" t="s">
        <v>106</v>
      </c>
      <c r="D154" s="15"/>
      <c r="E154" s="15"/>
      <c r="F154" s="15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3"/>
      <c r="S154" s="13"/>
    </row>
    <row r="155" spans="1:21" x14ac:dyDescent="0.25">
      <c r="A155" s="2"/>
      <c r="B155" s="2"/>
      <c r="C155" s="10"/>
      <c r="D155" s="15"/>
      <c r="E155" s="15"/>
      <c r="F155" s="15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3"/>
      <c r="S155" s="13"/>
    </row>
    <row r="156" spans="1:21" x14ac:dyDescent="0.25">
      <c r="A156" s="2"/>
      <c r="B156" s="2"/>
      <c r="C156" s="10" t="s">
        <v>107</v>
      </c>
      <c r="D156" s="15"/>
      <c r="E156" s="15"/>
      <c r="F156" s="15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3"/>
      <c r="S156" s="13"/>
    </row>
    <row r="157" spans="1:21" x14ac:dyDescent="0.25">
      <c r="A157" s="2"/>
      <c r="B157" s="2"/>
      <c r="C157" s="2"/>
      <c r="D157" s="15"/>
      <c r="E157" s="15"/>
      <c r="F157" s="15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3"/>
      <c r="S157" s="13"/>
    </row>
    <row r="158" spans="1:21" x14ac:dyDescent="0.25">
      <c r="A158" s="2"/>
      <c r="B158" s="2"/>
      <c r="C158" s="2"/>
      <c r="D158" s="15"/>
      <c r="E158" s="15"/>
      <c r="F158" s="15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3"/>
      <c r="S158" s="13"/>
    </row>
    <row r="159" spans="1:21" x14ac:dyDescent="0.25">
      <c r="A159" s="2"/>
      <c r="B159" s="2"/>
      <c r="C159" s="2"/>
      <c r="D159" s="15"/>
      <c r="E159" s="15"/>
      <c r="F159" s="15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3"/>
      <c r="S159" s="13"/>
    </row>
    <row r="160" spans="1:21" x14ac:dyDescent="0.25">
      <c r="A160" s="2"/>
      <c r="B160" s="2"/>
      <c r="C160" s="2"/>
      <c r="D160" s="15"/>
      <c r="E160" s="15"/>
      <c r="F160" s="15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3"/>
      <c r="S160" s="13"/>
    </row>
    <row r="161" spans="1:21" s="8" customFormat="1" ht="15.75" thickBot="1" x14ac:dyDescent="0.3">
      <c r="A161" s="58"/>
      <c r="B161" s="58"/>
      <c r="C161" s="58" t="s">
        <v>108</v>
      </c>
      <c r="D161" s="57"/>
      <c r="E161" s="57"/>
      <c r="F161" s="57"/>
      <c r="G161" s="56">
        <v>0</v>
      </c>
      <c r="H161" s="56"/>
      <c r="I161" s="56">
        <v>0</v>
      </c>
      <c r="J161" s="56"/>
      <c r="K161" s="56"/>
      <c r="L161" s="56">
        <v>0</v>
      </c>
      <c r="M161" s="56"/>
      <c r="N161" s="56"/>
      <c r="O161" s="56"/>
      <c r="P161" s="56"/>
      <c r="Q161" s="56"/>
      <c r="R161" s="64"/>
      <c r="S161" s="64"/>
      <c r="T161" s="68"/>
      <c r="U161" s="58"/>
    </row>
    <row r="162" spans="1:21" x14ac:dyDescent="0.25">
      <c r="A162" s="16"/>
      <c r="B162" s="16"/>
      <c r="C162" s="16"/>
      <c r="D162" s="20"/>
      <c r="E162" s="20"/>
      <c r="F162" s="20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8"/>
      <c r="S162" s="18"/>
      <c r="T162" s="17"/>
      <c r="U162" s="16"/>
    </row>
    <row r="163" spans="1:21" x14ac:dyDescent="0.25">
      <c r="A163" s="2"/>
      <c r="B163" s="2"/>
      <c r="C163" s="2"/>
      <c r="D163" s="15"/>
      <c r="E163" s="15"/>
      <c r="F163" s="1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3"/>
      <c r="S163" s="13"/>
    </row>
    <row r="164" spans="1:21" x14ac:dyDescent="0.25">
      <c r="A164" s="2"/>
      <c r="B164" s="2"/>
      <c r="C164" s="2"/>
      <c r="D164" s="15"/>
      <c r="E164" s="15"/>
      <c r="F164" s="1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3"/>
      <c r="S164" s="13"/>
    </row>
    <row r="165" spans="1:21" x14ac:dyDescent="0.25">
      <c r="A165" s="2"/>
      <c r="B165" s="2"/>
      <c r="C165" s="2"/>
      <c r="D165" s="15"/>
      <c r="E165" s="15"/>
      <c r="F165" s="15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3"/>
      <c r="S165" s="13"/>
    </row>
    <row r="166" spans="1:21" s="8" customFormat="1" ht="15.75" thickBot="1" x14ac:dyDescent="0.3">
      <c r="A166" s="58"/>
      <c r="B166" s="58"/>
      <c r="C166" s="58" t="s">
        <v>109</v>
      </c>
      <c r="D166" s="57"/>
      <c r="E166" s="57"/>
      <c r="F166" s="57"/>
      <c r="G166" s="56">
        <v>30587162</v>
      </c>
      <c r="H166" s="56">
        <v>30587162</v>
      </c>
      <c r="I166" s="56">
        <v>0</v>
      </c>
      <c r="J166" s="56">
        <v>0</v>
      </c>
      <c r="K166" s="56">
        <v>30387162</v>
      </c>
      <c r="L166" s="56">
        <v>200000</v>
      </c>
      <c r="M166" s="56"/>
      <c r="N166" s="56"/>
      <c r="O166" s="56">
        <f>SUM(O120+O144+O152)</f>
        <v>20087987</v>
      </c>
      <c r="P166" s="56">
        <f>SUM(P120+P144+P152)</f>
        <v>18073568.5</v>
      </c>
      <c r="Q166" s="56"/>
      <c r="R166" s="56">
        <f>SUM(R120+R144+R152)</f>
        <v>29053507.32</v>
      </c>
      <c r="S166" s="56"/>
      <c r="T166" s="56">
        <f>SUM(T120+T144+T152)</f>
        <v>20000000</v>
      </c>
      <c r="U166" s="58"/>
    </row>
    <row r="167" spans="1:21" x14ac:dyDescent="0.25">
      <c r="C167" s="91" t="s">
        <v>5</v>
      </c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62"/>
      <c r="T167" s="17"/>
      <c r="U167" s="16"/>
    </row>
    <row r="168" spans="1:21" x14ac:dyDescent="0.25">
      <c r="C168" s="91" t="s">
        <v>418</v>
      </c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62"/>
    </row>
    <row r="169" spans="1:21" x14ac:dyDescent="0.25">
      <c r="C169" s="8"/>
      <c r="D169" s="61"/>
      <c r="E169" s="61"/>
      <c r="F169" s="61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</row>
    <row r="170" spans="1:21" x14ac:dyDescent="0.25">
      <c r="A170" s="2"/>
      <c r="B170" s="2"/>
      <c r="C170" s="10"/>
      <c r="D170" s="12"/>
      <c r="E170" s="12"/>
      <c r="F170" s="12"/>
      <c r="G170" s="94" t="s">
        <v>7</v>
      </c>
      <c r="H170" s="94"/>
      <c r="I170" s="94"/>
      <c r="J170" s="94"/>
      <c r="K170" s="94"/>
      <c r="L170" s="94"/>
      <c r="M170" s="11"/>
      <c r="N170" s="11"/>
      <c r="O170" s="11"/>
      <c r="P170" s="11"/>
      <c r="Q170" s="11"/>
      <c r="R170" s="48"/>
      <c r="S170" s="48"/>
    </row>
    <row r="171" spans="1:21" x14ac:dyDescent="0.25">
      <c r="A171" s="2"/>
      <c r="B171" s="2"/>
      <c r="C171" s="10" t="s">
        <v>9</v>
      </c>
      <c r="D171" s="12"/>
      <c r="E171" s="12"/>
      <c r="F171" s="12"/>
      <c r="G171" s="11" t="s">
        <v>10</v>
      </c>
      <c r="H171" s="11" t="s">
        <v>11</v>
      </c>
      <c r="I171" s="11" t="s">
        <v>12</v>
      </c>
      <c r="J171" s="11" t="s">
        <v>13</v>
      </c>
      <c r="K171" s="11"/>
      <c r="L171" s="11" t="s">
        <v>14</v>
      </c>
      <c r="M171" s="11" t="s">
        <v>15</v>
      </c>
      <c r="N171" s="11" t="s">
        <v>15</v>
      </c>
      <c r="O171" s="11" t="s">
        <v>16</v>
      </c>
      <c r="P171" s="11" t="s">
        <v>393</v>
      </c>
      <c r="Q171" s="11" t="s">
        <v>15</v>
      </c>
      <c r="R171" s="48" t="s">
        <v>16</v>
      </c>
      <c r="S171" s="48"/>
    </row>
    <row r="172" spans="1:21" x14ac:dyDescent="0.25">
      <c r="A172" s="2"/>
      <c r="B172" s="2"/>
      <c r="C172" s="10"/>
      <c r="D172" s="12"/>
      <c r="E172" s="12"/>
      <c r="F172" s="12"/>
      <c r="G172" s="11" t="s">
        <v>16</v>
      </c>
      <c r="H172" s="11" t="s">
        <v>16</v>
      </c>
      <c r="I172" s="11" t="s">
        <v>17</v>
      </c>
      <c r="J172" s="11"/>
      <c r="K172" s="11"/>
      <c r="L172" s="11"/>
      <c r="M172" s="11"/>
      <c r="N172" s="11"/>
      <c r="O172" s="11"/>
      <c r="P172" s="11"/>
      <c r="Q172" s="11"/>
      <c r="R172" s="48"/>
      <c r="S172" s="48"/>
    </row>
    <row r="173" spans="1:21" x14ac:dyDescent="0.25">
      <c r="A173" s="2"/>
      <c r="B173" s="2"/>
      <c r="C173" s="10" t="s">
        <v>18</v>
      </c>
      <c r="D173" s="12" t="s">
        <v>19</v>
      </c>
      <c r="E173" s="12" t="s">
        <v>20</v>
      </c>
      <c r="F173" s="12" t="s">
        <v>21</v>
      </c>
      <c r="G173" s="11" t="s">
        <v>22</v>
      </c>
      <c r="H173" s="11" t="s">
        <v>22</v>
      </c>
      <c r="I173" s="11"/>
      <c r="J173" s="11" t="s">
        <v>23</v>
      </c>
      <c r="K173" s="11" t="s">
        <v>24</v>
      </c>
      <c r="L173" s="11" t="s">
        <v>25</v>
      </c>
      <c r="M173" s="11" t="s">
        <v>26</v>
      </c>
      <c r="N173" s="11" t="s">
        <v>26</v>
      </c>
      <c r="O173" s="11" t="s">
        <v>27</v>
      </c>
      <c r="P173" s="11" t="s">
        <v>27</v>
      </c>
      <c r="Q173" s="11" t="s">
        <v>26</v>
      </c>
      <c r="R173" s="48" t="s">
        <v>28</v>
      </c>
      <c r="S173" s="48"/>
    </row>
    <row r="174" spans="1:21" x14ac:dyDescent="0.25">
      <c r="A174" s="2"/>
      <c r="B174" s="2"/>
      <c r="C174" s="2"/>
      <c r="D174" s="15"/>
      <c r="E174" s="15"/>
      <c r="F174" s="15"/>
      <c r="G174" s="14"/>
      <c r="H174" s="14"/>
      <c r="I174" s="14"/>
      <c r="J174" s="14" t="s">
        <v>23</v>
      </c>
      <c r="K174" s="14" t="s">
        <v>24</v>
      </c>
      <c r="L174" s="14" t="s">
        <v>25</v>
      </c>
      <c r="M174" s="14"/>
      <c r="N174" s="14"/>
      <c r="O174" s="14"/>
      <c r="P174" s="14"/>
      <c r="Q174" s="14"/>
      <c r="R174" s="13"/>
      <c r="S174" s="13"/>
    </row>
    <row r="175" spans="1:21" x14ac:dyDescent="0.25">
      <c r="A175" s="2"/>
      <c r="B175" s="2"/>
      <c r="C175" s="2"/>
      <c r="D175" s="15"/>
      <c r="E175" s="15"/>
      <c r="F175" s="15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3"/>
      <c r="S175" s="13"/>
    </row>
    <row r="176" spans="1:21" x14ac:dyDescent="0.25">
      <c r="A176" s="2"/>
      <c r="B176" s="2"/>
      <c r="C176" s="10" t="s">
        <v>110</v>
      </c>
      <c r="D176" s="15"/>
      <c r="E176" s="15"/>
      <c r="F176" s="15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3"/>
      <c r="S176" s="13"/>
    </row>
    <row r="177" spans="1:19" x14ac:dyDescent="0.25">
      <c r="A177" s="2"/>
      <c r="B177" s="2"/>
      <c r="C177" s="10"/>
      <c r="D177" s="15"/>
      <c r="E177" s="15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3"/>
      <c r="S177" s="13"/>
    </row>
    <row r="178" spans="1:19" x14ac:dyDescent="0.25">
      <c r="A178" s="2"/>
      <c r="B178" s="2"/>
      <c r="C178" s="10" t="s">
        <v>111</v>
      </c>
      <c r="D178" s="15"/>
      <c r="E178" s="15"/>
      <c r="F178" s="15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3"/>
      <c r="S178" s="13"/>
    </row>
    <row r="179" spans="1:19" x14ac:dyDescent="0.25">
      <c r="A179" s="2"/>
      <c r="B179" s="2"/>
      <c r="C179" s="2"/>
      <c r="D179" s="15"/>
      <c r="E179" s="15"/>
      <c r="F179" s="15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3"/>
      <c r="S179" s="13"/>
    </row>
    <row r="180" spans="1:19" x14ac:dyDescent="0.25">
      <c r="A180" s="2"/>
      <c r="B180" s="2"/>
      <c r="C180" s="10" t="s">
        <v>112</v>
      </c>
      <c r="D180" s="15"/>
      <c r="E180" s="15"/>
      <c r="F180" s="15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3"/>
      <c r="S180" s="13"/>
    </row>
    <row r="181" spans="1:19" x14ac:dyDescent="0.25">
      <c r="A181" s="2"/>
      <c r="B181" s="2"/>
      <c r="C181" s="2"/>
      <c r="D181" s="15"/>
      <c r="E181" s="15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3"/>
      <c r="S181" s="13"/>
    </row>
    <row r="182" spans="1:19" x14ac:dyDescent="0.25">
      <c r="A182" s="2" t="s">
        <v>113</v>
      </c>
      <c r="B182" s="95" t="s">
        <v>65</v>
      </c>
      <c r="C182" s="2" t="s">
        <v>417</v>
      </c>
      <c r="D182" s="15">
        <v>1</v>
      </c>
      <c r="E182" s="15" t="s">
        <v>114</v>
      </c>
      <c r="F182" s="15" t="s">
        <v>115</v>
      </c>
      <c r="G182" s="14">
        <v>428571.43</v>
      </c>
      <c r="H182" s="14">
        <f>556303.99-(61245.02*1)</f>
        <v>495058.97</v>
      </c>
      <c r="I182" s="14"/>
      <c r="J182" s="14"/>
      <c r="K182" s="14">
        <f>H182</f>
        <v>495058.97</v>
      </c>
      <c r="L182" s="14"/>
      <c r="M182" s="14" t="s">
        <v>67</v>
      </c>
      <c r="N182" s="14"/>
      <c r="O182" s="14">
        <v>61245.02</v>
      </c>
      <c r="P182" s="14">
        <v>61245.02</v>
      </c>
      <c r="Q182" s="14" t="s">
        <v>67</v>
      </c>
      <c r="R182" s="13"/>
      <c r="S182" s="13"/>
    </row>
    <row r="183" spans="1:19" x14ac:dyDescent="0.25">
      <c r="A183" s="2" t="s">
        <v>116</v>
      </c>
      <c r="B183" s="96"/>
      <c r="C183" s="2" t="s">
        <v>416</v>
      </c>
      <c r="D183" s="15">
        <v>2</v>
      </c>
      <c r="E183" s="15" t="s">
        <v>117</v>
      </c>
      <c r="F183" s="15" t="s">
        <v>118</v>
      </c>
      <c r="G183" s="14">
        <v>428571.43</v>
      </c>
      <c r="H183" s="14">
        <f>556303.99-(61245.02*1)</f>
        <v>495058.97</v>
      </c>
      <c r="I183" s="14"/>
      <c r="J183" s="14"/>
      <c r="K183" s="14">
        <f t="shared" ref="K183:K199" si="4">H183</f>
        <v>495058.97</v>
      </c>
      <c r="L183" s="14"/>
      <c r="M183" s="14" t="s">
        <v>67</v>
      </c>
      <c r="N183" s="14"/>
      <c r="O183" s="14">
        <v>61245.02</v>
      </c>
      <c r="P183" s="14">
        <v>61245.02</v>
      </c>
      <c r="Q183" s="14" t="s">
        <v>67</v>
      </c>
      <c r="R183" s="13"/>
      <c r="S183" s="13"/>
    </row>
    <row r="184" spans="1:19" x14ac:dyDescent="0.25">
      <c r="A184" s="2" t="s">
        <v>119</v>
      </c>
      <c r="B184" s="96"/>
      <c r="C184" s="2" t="s">
        <v>415</v>
      </c>
      <c r="D184" s="15">
        <v>6</v>
      </c>
      <c r="E184" s="15" t="s">
        <v>120</v>
      </c>
      <c r="F184" s="15" t="s">
        <v>121</v>
      </c>
      <c r="G184" s="14">
        <v>825711</v>
      </c>
      <c r="H184" s="14">
        <f>1065080.06-(61245.02*2)</f>
        <v>942590.02</v>
      </c>
      <c r="I184" s="14"/>
      <c r="J184" s="14"/>
      <c r="K184" s="14">
        <f t="shared" si="4"/>
        <v>942590.02</v>
      </c>
      <c r="L184" s="14"/>
      <c r="M184" s="14" t="s">
        <v>67</v>
      </c>
      <c r="N184" s="14"/>
      <c r="O184" s="14">
        <v>122490.04</v>
      </c>
      <c r="P184" s="14">
        <v>122490.04</v>
      </c>
      <c r="Q184" s="14" t="s">
        <v>67</v>
      </c>
      <c r="R184" s="13"/>
      <c r="S184" s="13"/>
    </row>
    <row r="185" spans="1:19" x14ac:dyDescent="0.25">
      <c r="A185" s="2" t="s">
        <v>122</v>
      </c>
      <c r="B185" s="96"/>
      <c r="C185" s="2" t="s">
        <v>413</v>
      </c>
      <c r="D185" s="15">
        <v>9</v>
      </c>
      <c r="E185" s="15" t="s">
        <v>123</v>
      </c>
      <c r="F185" s="15" t="s">
        <v>124</v>
      </c>
      <c r="G185" s="14">
        <v>428571.43</v>
      </c>
      <c r="H185" s="14">
        <f>1048292-(61245.02*3)</f>
        <v>864556.94</v>
      </c>
      <c r="I185" s="14"/>
      <c r="J185" s="14"/>
      <c r="K185" s="14">
        <f t="shared" si="4"/>
        <v>864556.94</v>
      </c>
      <c r="L185" s="14"/>
      <c r="M185" s="14" t="s">
        <v>67</v>
      </c>
      <c r="N185" s="14"/>
      <c r="O185" s="14">
        <v>183735.06</v>
      </c>
      <c r="P185" s="14">
        <v>183735.06</v>
      </c>
      <c r="Q185" s="14" t="s">
        <v>67</v>
      </c>
      <c r="R185" s="13"/>
      <c r="S185" s="13"/>
    </row>
    <row r="186" spans="1:19" x14ac:dyDescent="0.25">
      <c r="A186" s="2" t="s">
        <v>125</v>
      </c>
      <c r="B186" s="96"/>
      <c r="C186" s="2" t="s">
        <v>414</v>
      </c>
      <c r="D186" s="15">
        <v>17</v>
      </c>
      <c r="E186" s="15" t="s">
        <v>126</v>
      </c>
      <c r="F186" s="15" t="s">
        <v>127</v>
      </c>
      <c r="G186" s="14">
        <v>2999996</v>
      </c>
      <c r="H186" s="14">
        <f>3144876.03-(61245.02*9)</f>
        <v>2593670.8499999996</v>
      </c>
      <c r="I186" s="14"/>
      <c r="J186" s="14"/>
      <c r="K186" s="14">
        <f t="shared" si="4"/>
        <v>2593670.8499999996</v>
      </c>
      <c r="L186" s="14"/>
      <c r="M186" s="14" t="s">
        <v>67</v>
      </c>
      <c r="N186" s="14"/>
      <c r="O186" s="14">
        <v>551205.18000000005</v>
      </c>
      <c r="P186" s="14">
        <v>551205.18000000005</v>
      </c>
      <c r="Q186" s="14" t="s">
        <v>67</v>
      </c>
      <c r="R186" s="13"/>
      <c r="S186" s="13"/>
    </row>
    <row r="187" spans="1:19" x14ac:dyDescent="0.25">
      <c r="A187" s="2" t="s">
        <v>128</v>
      </c>
      <c r="B187" s="96"/>
      <c r="C187" s="2" t="s">
        <v>413</v>
      </c>
      <c r="D187" s="15">
        <v>32</v>
      </c>
      <c r="E187" s="15" t="s">
        <v>123</v>
      </c>
      <c r="F187" s="15" t="s">
        <v>129</v>
      </c>
      <c r="G187" s="14">
        <v>2587877</v>
      </c>
      <c r="H187" s="14">
        <f>1747153.35-(61245.02*5)</f>
        <v>1440928.25</v>
      </c>
      <c r="I187" s="14"/>
      <c r="J187" s="14"/>
      <c r="K187" s="14">
        <f t="shared" si="4"/>
        <v>1440928.25</v>
      </c>
      <c r="L187" s="14"/>
      <c r="M187" s="14" t="s">
        <v>67</v>
      </c>
      <c r="N187" s="14"/>
      <c r="O187" s="14">
        <v>306225.09999999998</v>
      </c>
      <c r="P187" s="14">
        <v>306225.09999999998</v>
      </c>
      <c r="Q187" s="14" t="s">
        <v>67</v>
      </c>
      <c r="R187" s="13"/>
      <c r="S187" s="13"/>
    </row>
    <row r="188" spans="1:19" x14ac:dyDescent="0.25">
      <c r="A188" s="2" t="s">
        <v>130</v>
      </c>
      <c r="B188" s="96"/>
      <c r="C188" s="2" t="s">
        <v>412</v>
      </c>
      <c r="D188" s="15">
        <v>11</v>
      </c>
      <c r="E188" s="15" t="s">
        <v>131</v>
      </c>
      <c r="F188" s="15" t="s">
        <v>132</v>
      </c>
      <c r="G188" s="14">
        <v>1714284</v>
      </c>
      <c r="H188" s="14">
        <f>1596009.62-(61245.02*4)</f>
        <v>1351029.54</v>
      </c>
      <c r="I188" s="14"/>
      <c r="J188" s="14"/>
      <c r="K188" s="14">
        <f t="shared" si="4"/>
        <v>1351029.54</v>
      </c>
      <c r="L188" s="14"/>
      <c r="M188" s="14" t="s">
        <v>67</v>
      </c>
      <c r="N188" s="14"/>
      <c r="O188" s="14">
        <v>244980.08</v>
      </c>
      <c r="P188" s="14">
        <v>244980.08</v>
      </c>
      <c r="Q188" s="14" t="s">
        <v>67</v>
      </c>
      <c r="R188" s="13"/>
      <c r="S188" s="13"/>
    </row>
    <row r="189" spans="1:19" x14ac:dyDescent="0.25">
      <c r="A189" s="2" t="s">
        <v>178</v>
      </c>
      <c r="B189" s="96"/>
      <c r="C189" s="2" t="s">
        <v>411</v>
      </c>
      <c r="D189" s="15" t="s">
        <v>134</v>
      </c>
      <c r="E189" s="15" t="s">
        <v>135</v>
      </c>
      <c r="F189" s="15" t="s">
        <v>136</v>
      </c>
      <c r="G189" s="14">
        <v>2587877</v>
      </c>
      <c r="H189" s="14">
        <f>3727780.2-(61245.02*7)</f>
        <v>3299065.06</v>
      </c>
      <c r="I189" s="14"/>
      <c r="J189" s="14"/>
      <c r="K189" s="14">
        <f t="shared" si="4"/>
        <v>3299065.06</v>
      </c>
      <c r="L189" s="14"/>
      <c r="M189" s="14" t="s">
        <v>67</v>
      </c>
      <c r="N189" s="14"/>
      <c r="O189" s="14">
        <v>428715.14</v>
      </c>
      <c r="P189" s="14">
        <v>428715.14</v>
      </c>
      <c r="Q189" s="14" t="s">
        <v>67</v>
      </c>
      <c r="R189" s="13"/>
      <c r="S189" s="13"/>
    </row>
    <row r="190" spans="1:19" x14ac:dyDescent="0.25">
      <c r="A190" s="2" t="s">
        <v>137</v>
      </c>
      <c r="B190" s="96"/>
      <c r="C190" s="2" t="s">
        <v>410</v>
      </c>
      <c r="D190" s="15">
        <v>1</v>
      </c>
      <c r="E190" s="15" t="s">
        <v>138</v>
      </c>
      <c r="F190" s="15" t="s">
        <v>139</v>
      </c>
      <c r="G190" s="14">
        <v>1714284</v>
      </c>
      <c r="H190" s="14">
        <f>2225215.96-(61245.02*4)</f>
        <v>1980235.88</v>
      </c>
      <c r="I190" s="14"/>
      <c r="J190" s="14"/>
      <c r="K190" s="14">
        <f t="shared" si="4"/>
        <v>1980235.88</v>
      </c>
      <c r="L190" s="14"/>
      <c r="M190" s="14" t="s">
        <v>67</v>
      </c>
      <c r="N190" s="14"/>
      <c r="O190" s="14">
        <v>244980.08</v>
      </c>
      <c r="P190" s="14">
        <v>244980.08</v>
      </c>
      <c r="Q190" s="14" t="s">
        <v>67</v>
      </c>
      <c r="R190" s="13"/>
      <c r="S190" s="13"/>
    </row>
    <row r="191" spans="1:19" x14ac:dyDescent="0.25">
      <c r="A191" s="2" t="s">
        <v>140</v>
      </c>
      <c r="B191" s="96"/>
      <c r="C191" s="2" t="s">
        <v>141</v>
      </c>
      <c r="D191" s="15">
        <v>12</v>
      </c>
      <c r="E191" s="15" t="s">
        <v>141</v>
      </c>
      <c r="F191" s="15" t="s">
        <v>142</v>
      </c>
      <c r="G191" s="14">
        <v>1714284</v>
      </c>
      <c r="H191" s="14">
        <f>1995048.1-(61245.02*5)</f>
        <v>1688823</v>
      </c>
      <c r="I191" s="14"/>
      <c r="J191" s="14"/>
      <c r="K191" s="14">
        <f t="shared" si="4"/>
        <v>1688823</v>
      </c>
      <c r="L191" s="14"/>
      <c r="M191" s="14" t="s">
        <v>67</v>
      </c>
      <c r="N191" s="14"/>
      <c r="O191" s="14">
        <v>993225</v>
      </c>
      <c r="P191" s="14">
        <v>993225</v>
      </c>
      <c r="Q191" s="14" t="s">
        <v>67</v>
      </c>
      <c r="R191" s="13"/>
      <c r="S191" s="13"/>
    </row>
    <row r="192" spans="1:19" x14ac:dyDescent="0.25">
      <c r="A192" s="2" t="s">
        <v>143</v>
      </c>
      <c r="B192" s="96"/>
      <c r="C192" s="2" t="s">
        <v>409</v>
      </c>
      <c r="D192" s="15">
        <v>2</v>
      </c>
      <c r="E192" s="15" t="s">
        <v>144</v>
      </c>
      <c r="F192" s="15" t="s">
        <v>115</v>
      </c>
      <c r="G192" s="14">
        <v>2587877</v>
      </c>
      <c r="H192" s="14">
        <f>2890670.2-(61245.02*7)</f>
        <v>2461955.06</v>
      </c>
      <c r="I192" s="14"/>
      <c r="J192" s="14"/>
      <c r="K192" s="14">
        <f t="shared" si="4"/>
        <v>2461955.06</v>
      </c>
      <c r="L192" s="14"/>
      <c r="M192" s="14" t="s">
        <v>67</v>
      </c>
      <c r="N192" s="14"/>
      <c r="O192" s="14">
        <v>428715.14</v>
      </c>
      <c r="P192" s="14">
        <v>428715.14</v>
      </c>
      <c r="Q192" s="14" t="s">
        <v>67</v>
      </c>
      <c r="R192" s="13"/>
      <c r="S192" s="13"/>
    </row>
    <row r="193" spans="1:21" x14ac:dyDescent="0.25">
      <c r="A193" s="2"/>
      <c r="B193" s="96"/>
      <c r="C193" s="10" t="s">
        <v>145</v>
      </c>
      <c r="D193" s="15"/>
      <c r="E193" s="15"/>
      <c r="F193" s="15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3"/>
      <c r="S193" s="13"/>
    </row>
    <row r="194" spans="1:21" x14ac:dyDescent="0.25">
      <c r="A194" s="59" t="s">
        <v>146</v>
      </c>
      <c r="B194" s="96"/>
      <c r="C194" s="2" t="s">
        <v>147</v>
      </c>
      <c r="D194" s="15">
        <v>1</v>
      </c>
      <c r="E194" s="2" t="s">
        <v>147</v>
      </c>
      <c r="F194" s="15" t="s">
        <v>115</v>
      </c>
      <c r="G194" s="14">
        <v>0</v>
      </c>
      <c r="H194" s="14">
        <v>164000</v>
      </c>
      <c r="I194" s="14"/>
      <c r="J194" s="14"/>
      <c r="K194" s="14">
        <f t="shared" si="4"/>
        <v>164000</v>
      </c>
      <c r="L194" s="14"/>
      <c r="M194" s="14" t="s">
        <v>67</v>
      </c>
      <c r="N194" s="14"/>
      <c r="O194" s="14"/>
      <c r="P194" s="14"/>
      <c r="Q194" s="14"/>
      <c r="R194" s="13"/>
      <c r="S194" s="13"/>
    </row>
    <row r="195" spans="1:21" x14ac:dyDescent="0.25">
      <c r="A195" s="2" t="s">
        <v>148</v>
      </c>
      <c r="B195" s="96"/>
      <c r="C195" s="2" t="s">
        <v>117</v>
      </c>
      <c r="D195" s="15">
        <v>2</v>
      </c>
      <c r="E195" s="2" t="s">
        <v>117</v>
      </c>
      <c r="F195" s="15" t="s">
        <v>118</v>
      </c>
      <c r="G195" s="14">
        <v>0</v>
      </c>
      <c r="H195" s="14">
        <v>246000</v>
      </c>
      <c r="I195" s="14"/>
      <c r="J195" s="14"/>
      <c r="K195" s="14">
        <f t="shared" si="4"/>
        <v>246000</v>
      </c>
      <c r="L195" s="14"/>
      <c r="M195" s="14" t="s">
        <v>67</v>
      </c>
      <c r="N195" s="14"/>
      <c r="O195" s="14"/>
      <c r="P195" s="14"/>
      <c r="Q195" s="14"/>
      <c r="R195" s="13"/>
      <c r="S195" s="13"/>
    </row>
    <row r="196" spans="1:21" x14ac:dyDescent="0.25">
      <c r="A196" s="2" t="s">
        <v>149</v>
      </c>
      <c r="B196" s="96"/>
      <c r="C196" s="2" t="s">
        <v>150</v>
      </c>
      <c r="D196" s="15">
        <v>5</v>
      </c>
      <c r="E196" s="2" t="s">
        <v>150</v>
      </c>
      <c r="F196" s="15"/>
      <c r="G196" s="14">
        <v>0</v>
      </c>
      <c r="H196" s="14">
        <v>328000</v>
      </c>
      <c r="I196" s="14"/>
      <c r="J196" s="14"/>
      <c r="K196" s="14">
        <f t="shared" si="4"/>
        <v>328000</v>
      </c>
      <c r="L196" s="14"/>
      <c r="M196" s="14" t="s">
        <v>67</v>
      </c>
      <c r="N196" s="14"/>
      <c r="O196" s="14"/>
      <c r="P196" s="14"/>
      <c r="Q196" s="14"/>
      <c r="R196" s="13"/>
      <c r="S196" s="13"/>
    </row>
    <row r="197" spans="1:21" x14ac:dyDescent="0.25">
      <c r="A197" s="2" t="s">
        <v>151</v>
      </c>
      <c r="B197" s="96"/>
      <c r="C197" s="2" t="s">
        <v>120</v>
      </c>
      <c r="D197" s="15">
        <v>6</v>
      </c>
      <c r="E197" s="2" t="s">
        <v>120</v>
      </c>
      <c r="F197" s="15" t="s">
        <v>121</v>
      </c>
      <c r="G197" s="14">
        <v>0</v>
      </c>
      <c r="H197" s="14">
        <v>410000</v>
      </c>
      <c r="I197" s="14"/>
      <c r="J197" s="14"/>
      <c r="K197" s="14">
        <f t="shared" si="4"/>
        <v>410000</v>
      </c>
      <c r="L197" s="14"/>
      <c r="M197" s="14" t="s">
        <v>67</v>
      </c>
      <c r="N197" s="14"/>
      <c r="O197" s="14"/>
      <c r="P197" s="14"/>
      <c r="Q197" s="14"/>
      <c r="R197" s="13"/>
      <c r="S197" s="13"/>
    </row>
    <row r="198" spans="1:21" x14ac:dyDescent="0.25">
      <c r="A198" s="2" t="s">
        <v>152</v>
      </c>
      <c r="B198" s="96"/>
      <c r="C198" s="2" t="s">
        <v>123</v>
      </c>
      <c r="D198" s="15">
        <v>17</v>
      </c>
      <c r="E198" s="2" t="s">
        <v>123</v>
      </c>
      <c r="F198" s="15" t="s">
        <v>127</v>
      </c>
      <c r="G198" s="14">
        <v>0</v>
      </c>
      <c r="H198" s="14">
        <v>328000</v>
      </c>
      <c r="I198" s="14"/>
      <c r="J198" s="14"/>
      <c r="K198" s="14">
        <f t="shared" si="4"/>
        <v>328000</v>
      </c>
      <c r="L198" s="14"/>
      <c r="M198" s="14" t="s">
        <v>67</v>
      </c>
      <c r="N198" s="14"/>
      <c r="O198" s="14"/>
      <c r="P198" s="14"/>
      <c r="Q198" s="14"/>
      <c r="R198" s="13"/>
      <c r="S198" s="13"/>
    </row>
    <row r="199" spans="1:21" x14ac:dyDescent="0.25">
      <c r="A199" s="2" t="s">
        <v>153</v>
      </c>
      <c r="B199" s="96"/>
      <c r="C199" s="2" t="s">
        <v>154</v>
      </c>
      <c r="D199" s="15">
        <v>17</v>
      </c>
      <c r="E199" s="2" t="s">
        <v>154</v>
      </c>
      <c r="F199" s="15" t="s">
        <v>127</v>
      </c>
      <c r="G199" s="14">
        <v>0</v>
      </c>
      <c r="H199" s="14">
        <v>328000</v>
      </c>
      <c r="I199" s="14"/>
      <c r="J199" s="14"/>
      <c r="K199" s="14">
        <f t="shared" si="4"/>
        <v>328000</v>
      </c>
      <c r="L199" s="14"/>
      <c r="M199" s="14" t="s">
        <v>67</v>
      </c>
      <c r="N199" s="14"/>
      <c r="O199" s="14"/>
      <c r="P199" s="14"/>
      <c r="Q199" s="14"/>
      <c r="R199" s="13"/>
      <c r="S199" s="13"/>
    </row>
    <row r="200" spans="1:21" x14ac:dyDescent="0.25">
      <c r="A200" s="2" t="s">
        <v>155</v>
      </c>
      <c r="B200" s="96"/>
      <c r="C200" s="2" t="s">
        <v>156</v>
      </c>
      <c r="D200" s="15">
        <v>34</v>
      </c>
      <c r="E200" s="2" t="s">
        <v>156</v>
      </c>
      <c r="F200" s="15" t="s">
        <v>157</v>
      </c>
      <c r="G200" s="66"/>
      <c r="H200" s="66"/>
      <c r="I200" s="14"/>
      <c r="J200" s="14"/>
      <c r="K200" s="66"/>
      <c r="L200" s="14"/>
      <c r="M200" s="14"/>
      <c r="N200" s="14" t="s">
        <v>67</v>
      </c>
      <c r="O200" s="66">
        <v>1727796</v>
      </c>
      <c r="P200" s="66">
        <v>1727796</v>
      </c>
      <c r="Q200" s="14" t="s">
        <v>67</v>
      </c>
      <c r="R200" s="13"/>
      <c r="S200" s="13"/>
    </row>
    <row r="201" spans="1:21" x14ac:dyDescent="0.25">
      <c r="A201" s="2" t="s">
        <v>158</v>
      </c>
      <c r="B201" s="96"/>
      <c r="C201" s="2" t="s">
        <v>159</v>
      </c>
      <c r="D201" s="15">
        <v>2</v>
      </c>
      <c r="E201" s="2" t="s">
        <v>159</v>
      </c>
      <c r="F201" s="15" t="s">
        <v>160</v>
      </c>
      <c r="G201" s="66"/>
      <c r="H201" s="66"/>
      <c r="I201" s="14"/>
      <c r="J201" s="14"/>
      <c r="K201" s="66"/>
      <c r="L201" s="14"/>
      <c r="M201" s="14"/>
      <c r="N201" s="14" t="s">
        <v>67</v>
      </c>
      <c r="O201" s="66">
        <v>1295847</v>
      </c>
      <c r="P201" s="66">
        <v>1629155.02</v>
      </c>
      <c r="Q201" s="14" t="s">
        <v>67</v>
      </c>
      <c r="R201" s="13"/>
      <c r="S201" s="13"/>
    </row>
    <row r="202" spans="1:21" x14ac:dyDescent="0.25">
      <c r="A202" s="59" t="s">
        <v>146</v>
      </c>
      <c r="B202" s="96"/>
      <c r="C202" s="2" t="s">
        <v>161</v>
      </c>
      <c r="D202" s="15">
        <v>2</v>
      </c>
      <c r="E202" s="2" t="s">
        <v>161</v>
      </c>
      <c r="F202" s="15" t="s">
        <v>162</v>
      </c>
      <c r="G202" s="66"/>
      <c r="H202" s="66"/>
      <c r="I202" s="14"/>
      <c r="J202" s="14"/>
      <c r="K202" s="66"/>
      <c r="L202" s="14"/>
      <c r="M202" s="14"/>
      <c r="N202" s="14" t="s">
        <v>67</v>
      </c>
      <c r="O202" s="66">
        <v>1295847</v>
      </c>
      <c r="P202" s="66">
        <v>1836744.07</v>
      </c>
      <c r="Q202" s="14" t="s">
        <v>67</v>
      </c>
      <c r="R202" s="13"/>
      <c r="S202" s="13"/>
    </row>
    <row r="203" spans="1:21" x14ac:dyDescent="0.25">
      <c r="A203" s="59" t="s">
        <v>148</v>
      </c>
      <c r="B203" s="96"/>
      <c r="C203" s="2" t="s">
        <v>163</v>
      </c>
      <c r="D203" s="15">
        <v>2</v>
      </c>
      <c r="E203" s="2" t="s">
        <v>163</v>
      </c>
      <c r="F203" s="15" t="s">
        <v>164</v>
      </c>
      <c r="G203" s="66"/>
      <c r="H203" s="66"/>
      <c r="I203" s="14"/>
      <c r="J203" s="14"/>
      <c r="K203" s="66"/>
      <c r="L203" s="14"/>
      <c r="M203" s="14"/>
      <c r="N203" s="14" t="s">
        <v>67</v>
      </c>
      <c r="O203" s="66">
        <v>1727796</v>
      </c>
      <c r="P203" s="66">
        <v>1962762.51</v>
      </c>
      <c r="Q203" s="14" t="s">
        <v>67</v>
      </c>
      <c r="R203" s="13"/>
      <c r="S203" s="13"/>
    </row>
    <row r="204" spans="1:21" x14ac:dyDescent="0.25">
      <c r="A204" s="59" t="s">
        <v>149</v>
      </c>
      <c r="B204" s="96"/>
      <c r="C204" s="2" t="s">
        <v>165</v>
      </c>
      <c r="D204" s="15">
        <v>2</v>
      </c>
      <c r="E204" s="2" t="s">
        <v>165</v>
      </c>
      <c r="F204" s="67" t="s">
        <v>166</v>
      </c>
      <c r="G204" s="66"/>
      <c r="H204" s="66"/>
      <c r="I204" s="14"/>
      <c r="J204" s="14"/>
      <c r="K204" s="66"/>
      <c r="L204" s="14"/>
      <c r="M204" s="14"/>
      <c r="N204" s="14" t="s">
        <v>67</v>
      </c>
      <c r="O204" s="66">
        <v>1727796</v>
      </c>
      <c r="P204" s="66">
        <v>1727796</v>
      </c>
      <c r="Q204" s="14" t="s">
        <v>67</v>
      </c>
      <c r="R204" s="13"/>
      <c r="S204" s="13"/>
    </row>
    <row r="205" spans="1:21" x14ac:dyDescent="0.25">
      <c r="A205" s="59" t="s">
        <v>151</v>
      </c>
      <c r="B205" s="96"/>
      <c r="C205" s="2" t="s">
        <v>167</v>
      </c>
      <c r="D205" s="15">
        <v>2</v>
      </c>
      <c r="E205" s="2" t="s">
        <v>167</v>
      </c>
      <c r="F205" s="15" t="s">
        <v>168</v>
      </c>
      <c r="G205" s="66"/>
      <c r="H205" s="66"/>
      <c r="I205" s="14"/>
      <c r="J205" s="14"/>
      <c r="K205" s="66"/>
      <c r="L205" s="14"/>
      <c r="M205" s="14"/>
      <c r="N205" s="14" t="s">
        <v>67</v>
      </c>
      <c r="O205" s="66">
        <v>863898</v>
      </c>
      <c r="P205" s="66">
        <f>1360652.59</f>
        <v>1360652.59</v>
      </c>
      <c r="Q205" s="14" t="s">
        <v>67</v>
      </c>
      <c r="R205" s="13"/>
      <c r="S205" s="13"/>
    </row>
    <row r="206" spans="1:21" x14ac:dyDescent="0.25">
      <c r="A206" s="59" t="s">
        <v>152</v>
      </c>
      <c r="B206" s="96"/>
      <c r="C206" s="2" t="s">
        <v>169</v>
      </c>
      <c r="D206" s="15">
        <v>25</v>
      </c>
      <c r="E206" s="2" t="s">
        <v>169</v>
      </c>
      <c r="F206" s="15" t="s">
        <v>170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 t="s">
        <v>67</v>
      </c>
      <c r="R206" s="13">
        <v>1674316</v>
      </c>
      <c r="S206" s="13" t="s">
        <v>67</v>
      </c>
      <c r="U206" s="2" t="s">
        <v>67</v>
      </c>
    </row>
    <row r="207" spans="1:21" x14ac:dyDescent="0.25">
      <c r="A207" s="59" t="s">
        <v>153</v>
      </c>
      <c r="B207" s="96"/>
      <c r="C207" s="2" t="s">
        <v>171</v>
      </c>
      <c r="D207" s="15">
        <v>19</v>
      </c>
      <c r="E207" s="2" t="s">
        <v>171</v>
      </c>
      <c r="F207" s="15" t="s">
        <v>172</v>
      </c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 t="s">
        <v>67</v>
      </c>
      <c r="R207" s="13">
        <v>1674316</v>
      </c>
      <c r="S207" s="13" t="s">
        <v>67</v>
      </c>
      <c r="U207" s="2" t="s">
        <v>67</v>
      </c>
    </row>
    <row r="208" spans="1:21" x14ac:dyDescent="0.25">
      <c r="A208" s="2" t="s">
        <v>173</v>
      </c>
      <c r="B208" s="96"/>
      <c r="C208" s="2" t="s">
        <v>174</v>
      </c>
      <c r="D208" s="15">
        <v>2</v>
      </c>
      <c r="E208" s="2" t="s">
        <v>174</v>
      </c>
      <c r="F208" s="15" t="s">
        <v>129</v>
      </c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 t="s">
        <v>67</v>
      </c>
      <c r="R208" s="13">
        <v>837158</v>
      </c>
      <c r="S208" s="13" t="s">
        <v>67</v>
      </c>
      <c r="U208" s="2" t="s">
        <v>67</v>
      </c>
    </row>
    <row r="209" spans="1:21" x14ac:dyDescent="0.25">
      <c r="A209" s="2" t="s">
        <v>175</v>
      </c>
      <c r="B209" s="96"/>
      <c r="C209" s="2" t="s">
        <v>176</v>
      </c>
      <c r="D209" s="15">
        <v>3</v>
      </c>
      <c r="E209" s="2" t="s">
        <v>176</v>
      </c>
      <c r="F209" s="15" t="s">
        <v>177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 t="s">
        <v>67</v>
      </c>
      <c r="R209" s="13">
        <v>837158</v>
      </c>
      <c r="S209" s="13" t="s">
        <v>67</v>
      </c>
      <c r="U209" s="2" t="s">
        <v>67</v>
      </c>
    </row>
    <row r="210" spans="1:21" x14ac:dyDescent="0.25">
      <c r="A210" s="2" t="s">
        <v>178</v>
      </c>
      <c r="B210" s="96"/>
      <c r="C210" s="2" t="s">
        <v>133</v>
      </c>
      <c r="D210" s="15" t="s">
        <v>134</v>
      </c>
      <c r="E210" s="15" t="s">
        <v>135</v>
      </c>
      <c r="F210" s="15" t="s">
        <v>136</v>
      </c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 t="s">
        <v>67</v>
      </c>
      <c r="R210" s="13">
        <v>6278685</v>
      </c>
      <c r="S210" s="13" t="s">
        <v>67</v>
      </c>
      <c r="U210" s="2" t="s">
        <v>67</v>
      </c>
    </row>
    <row r="211" spans="1:21" x14ac:dyDescent="0.25">
      <c r="A211" s="2" t="s">
        <v>179</v>
      </c>
      <c r="B211" s="97"/>
      <c r="C211" s="2" t="s">
        <v>180</v>
      </c>
      <c r="D211" s="15">
        <v>1</v>
      </c>
      <c r="E211" s="2" t="s">
        <v>180</v>
      </c>
      <c r="F211" s="15" t="s">
        <v>181</v>
      </c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 t="s">
        <v>67</v>
      </c>
      <c r="R211" s="13">
        <v>1255737</v>
      </c>
      <c r="S211" s="13" t="s">
        <v>67</v>
      </c>
      <c r="U211" s="2" t="s">
        <v>67</v>
      </c>
    </row>
    <row r="212" spans="1:21" x14ac:dyDescent="0.25">
      <c r="A212" s="2" t="s">
        <v>408</v>
      </c>
      <c r="B212" s="63"/>
      <c r="C212" s="2" t="s">
        <v>182</v>
      </c>
      <c r="D212" s="15">
        <v>1</v>
      </c>
      <c r="E212" s="2" t="s">
        <v>183</v>
      </c>
      <c r="F212" s="15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 t="s">
        <v>67</v>
      </c>
      <c r="R212" s="13"/>
      <c r="S212" s="13" t="s">
        <v>67</v>
      </c>
      <c r="T212" s="3">
        <v>2280000</v>
      </c>
      <c r="U212" s="2" t="s">
        <v>67</v>
      </c>
    </row>
    <row r="213" spans="1:21" x14ac:dyDescent="0.25">
      <c r="A213" s="2" t="s">
        <v>407</v>
      </c>
      <c r="B213" s="63"/>
      <c r="C213" s="2" t="s">
        <v>184</v>
      </c>
      <c r="D213" s="15">
        <v>4</v>
      </c>
      <c r="E213" s="2" t="s">
        <v>184</v>
      </c>
      <c r="F213" s="15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 t="s">
        <v>67</v>
      </c>
      <c r="R213" s="13"/>
      <c r="S213" s="13" t="s">
        <v>67</v>
      </c>
      <c r="T213" s="3">
        <v>2280000</v>
      </c>
      <c r="U213" s="2" t="s">
        <v>67</v>
      </c>
    </row>
    <row r="214" spans="1:21" x14ac:dyDescent="0.25">
      <c r="A214" s="2" t="s">
        <v>406</v>
      </c>
      <c r="B214" s="63"/>
      <c r="C214" s="2" t="s">
        <v>185</v>
      </c>
      <c r="D214" s="15">
        <v>6</v>
      </c>
      <c r="E214" s="2" t="s">
        <v>185</v>
      </c>
      <c r="F214" s="15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 t="s">
        <v>67</v>
      </c>
      <c r="R214" s="13"/>
      <c r="S214" s="13" t="s">
        <v>67</v>
      </c>
      <c r="T214" s="3">
        <v>2280000</v>
      </c>
      <c r="U214" s="2" t="s">
        <v>67</v>
      </c>
    </row>
    <row r="215" spans="1:21" x14ac:dyDescent="0.25">
      <c r="A215" s="2" t="s">
        <v>405</v>
      </c>
      <c r="B215" s="63"/>
      <c r="C215" s="2" t="s">
        <v>186</v>
      </c>
      <c r="D215" s="15">
        <v>6</v>
      </c>
      <c r="E215" s="2" t="s">
        <v>186</v>
      </c>
      <c r="F215" s="15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 t="s">
        <v>67</v>
      </c>
      <c r="R215" s="13"/>
      <c r="S215" s="13" t="s">
        <v>67</v>
      </c>
      <c r="T215" s="3">
        <v>2280000</v>
      </c>
      <c r="U215" s="2" t="s">
        <v>67</v>
      </c>
    </row>
    <row r="216" spans="1:21" x14ac:dyDescent="0.25">
      <c r="A216" s="65" t="s">
        <v>404</v>
      </c>
      <c r="B216" s="63"/>
      <c r="C216" s="2" t="s">
        <v>187</v>
      </c>
      <c r="D216" s="15">
        <v>8</v>
      </c>
      <c r="E216" s="2" t="s">
        <v>187</v>
      </c>
      <c r="F216" s="15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 t="s">
        <v>67</v>
      </c>
      <c r="R216" s="13"/>
      <c r="S216" s="13" t="s">
        <v>67</v>
      </c>
      <c r="T216" s="3">
        <v>2280000</v>
      </c>
      <c r="U216" s="2" t="s">
        <v>67</v>
      </c>
    </row>
    <row r="217" spans="1:21" x14ac:dyDescent="0.25">
      <c r="A217" s="2" t="s">
        <v>403</v>
      </c>
      <c r="B217" s="63"/>
      <c r="C217" s="2" t="s">
        <v>188</v>
      </c>
      <c r="D217" s="15"/>
      <c r="E217" s="2" t="s">
        <v>189</v>
      </c>
      <c r="F217" s="15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 t="s">
        <v>67</v>
      </c>
      <c r="R217" s="13"/>
      <c r="S217" s="13" t="s">
        <v>67</v>
      </c>
      <c r="T217" s="3">
        <v>2280000</v>
      </c>
      <c r="U217" s="2" t="s">
        <v>67</v>
      </c>
    </row>
    <row r="218" spans="1:21" x14ac:dyDescent="0.25">
      <c r="A218" s="2"/>
      <c r="B218" s="63"/>
      <c r="C218" s="2"/>
      <c r="D218" s="15"/>
      <c r="E218" s="2"/>
      <c r="F218" s="15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 t="s">
        <v>67</v>
      </c>
      <c r="R218" s="13"/>
      <c r="S218" s="13" t="s">
        <v>67</v>
      </c>
      <c r="U218" s="2" t="s">
        <v>67</v>
      </c>
    </row>
    <row r="219" spans="1:21" s="8" customFormat="1" ht="15.75" thickBot="1" x14ac:dyDescent="0.3">
      <c r="A219" s="58"/>
      <c r="B219" s="58"/>
      <c r="C219" s="58" t="s">
        <v>190</v>
      </c>
      <c r="D219" s="57"/>
      <c r="E219" s="57"/>
      <c r="F219" s="57"/>
      <c r="G219" s="56">
        <f>SUM(G182:G199)</f>
        <v>18017904.289999999</v>
      </c>
      <c r="H219" s="56">
        <f>SUM(H182:H199)</f>
        <v>19416972.539999999</v>
      </c>
      <c r="I219" s="56">
        <f t="shared" ref="I219:N219" si="5">SUM(I182:I192)</f>
        <v>0</v>
      </c>
      <c r="J219" s="56">
        <f t="shared" si="5"/>
        <v>0</v>
      </c>
      <c r="K219" s="56">
        <f t="shared" si="5"/>
        <v>17612972.539999999</v>
      </c>
      <c r="L219" s="56">
        <f t="shared" si="5"/>
        <v>0</v>
      </c>
      <c r="M219" s="56">
        <f t="shared" si="5"/>
        <v>0</v>
      </c>
      <c r="N219" s="56">
        <f t="shared" si="5"/>
        <v>0</v>
      </c>
      <c r="O219" s="56">
        <f>SUM(O182:O218)</f>
        <v>12265740.859999999</v>
      </c>
      <c r="P219" s="56">
        <f>SUM(P182:P218)</f>
        <v>13871667.050000001</v>
      </c>
      <c r="Q219" s="56">
        <f>SUM(Q182:Q218)</f>
        <v>0</v>
      </c>
      <c r="R219" s="56">
        <f>SUM(R182:R218)</f>
        <v>12557370</v>
      </c>
      <c r="S219" s="64"/>
      <c r="T219" s="56">
        <f>SUM(T182:T218)</f>
        <v>13680000</v>
      </c>
      <c r="U219" s="58"/>
    </row>
    <row r="220" spans="1:21" x14ac:dyDescent="0.25">
      <c r="C220" s="91" t="s">
        <v>5</v>
      </c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62"/>
      <c r="T220" s="7"/>
      <c r="U220" s="6"/>
    </row>
    <row r="221" spans="1:21" x14ac:dyDescent="0.25">
      <c r="C221" s="91" t="s">
        <v>402</v>
      </c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62"/>
      <c r="T221" s="7"/>
      <c r="U221" s="6"/>
    </row>
    <row r="222" spans="1:21" x14ac:dyDescent="0.25">
      <c r="C222" s="8"/>
      <c r="D222" s="61"/>
      <c r="E222" s="61"/>
      <c r="F222" s="61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7"/>
      <c r="U222" s="6"/>
    </row>
    <row r="223" spans="1:21" x14ac:dyDescent="0.25">
      <c r="A223" s="2"/>
      <c r="B223" s="2"/>
      <c r="C223" s="10"/>
      <c r="D223" s="12"/>
      <c r="E223" s="12"/>
      <c r="F223" s="12"/>
      <c r="G223" s="94" t="s">
        <v>7</v>
      </c>
      <c r="H223" s="94"/>
      <c r="I223" s="94"/>
      <c r="J223" s="94"/>
      <c r="K223" s="94"/>
      <c r="L223" s="94"/>
      <c r="M223" s="11"/>
      <c r="N223" s="11"/>
      <c r="O223" s="11"/>
      <c r="P223" s="11"/>
      <c r="Q223" s="11"/>
      <c r="R223" s="11"/>
      <c r="S223" s="11"/>
    </row>
    <row r="224" spans="1:21" x14ac:dyDescent="0.25">
      <c r="A224" s="2"/>
      <c r="B224" s="2"/>
      <c r="C224" s="10" t="s">
        <v>9</v>
      </c>
      <c r="D224" s="12"/>
      <c r="E224" s="12"/>
      <c r="F224" s="12"/>
      <c r="G224" s="11" t="s">
        <v>10</v>
      </c>
      <c r="H224" s="11" t="s">
        <v>11</v>
      </c>
      <c r="I224" s="11" t="s">
        <v>12</v>
      </c>
      <c r="J224" s="11" t="s">
        <v>13</v>
      </c>
      <c r="K224" s="11"/>
      <c r="L224" s="11" t="s">
        <v>14</v>
      </c>
      <c r="M224" s="11" t="s">
        <v>15</v>
      </c>
      <c r="N224" s="11" t="s">
        <v>15</v>
      </c>
      <c r="O224" s="11" t="s">
        <v>16</v>
      </c>
      <c r="P224" s="11" t="s">
        <v>393</v>
      </c>
      <c r="Q224" s="11" t="s">
        <v>15</v>
      </c>
      <c r="R224" s="11" t="s">
        <v>16</v>
      </c>
      <c r="S224" s="11"/>
    </row>
    <row r="225" spans="1:19" x14ac:dyDescent="0.25">
      <c r="A225" s="2"/>
      <c r="B225" s="2"/>
      <c r="C225" s="10"/>
      <c r="D225" s="12"/>
      <c r="E225" s="12"/>
      <c r="F225" s="12"/>
      <c r="G225" s="11" t="s">
        <v>16</v>
      </c>
      <c r="H225" s="11" t="s">
        <v>16</v>
      </c>
      <c r="I225" s="11" t="s">
        <v>17</v>
      </c>
      <c r="J225" s="11"/>
      <c r="K225" s="11"/>
      <c r="L225" s="11"/>
      <c r="M225" s="11"/>
      <c r="N225" s="11"/>
      <c r="O225" s="11"/>
      <c r="P225" s="11"/>
      <c r="Q225" s="11"/>
      <c r="R225" s="48"/>
      <c r="S225" s="48"/>
    </row>
    <row r="226" spans="1:19" x14ac:dyDescent="0.25">
      <c r="A226" s="2"/>
      <c r="B226" s="2"/>
      <c r="C226" s="10" t="s">
        <v>18</v>
      </c>
      <c r="D226" s="12" t="s">
        <v>19</v>
      </c>
      <c r="E226" s="12" t="s">
        <v>20</v>
      </c>
      <c r="F226" s="12" t="s">
        <v>21</v>
      </c>
      <c r="G226" s="11" t="s">
        <v>22</v>
      </c>
      <c r="H226" s="11" t="s">
        <v>22</v>
      </c>
      <c r="I226" s="11"/>
      <c r="J226" s="11" t="s">
        <v>23</v>
      </c>
      <c r="K226" s="11" t="s">
        <v>24</v>
      </c>
      <c r="L226" s="11" t="s">
        <v>25</v>
      </c>
      <c r="M226" s="11" t="s">
        <v>26</v>
      </c>
      <c r="N226" s="11" t="s">
        <v>26</v>
      </c>
      <c r="O226" s="11" t="s">
        <v>27</v>
      </c>
      <c r="P226" s="11" t="s">
        <v>27</v>
      </c>
      <c r="Q226" s="11" t="s">
        <v>26</v>
      </c>
      <c r="R226" s="48" t="s">
        <v>28</v>
      </c>
      <c r="S226" s="48"/>
    </row>
    <row r="227" spans="1:19" x14ac:dyDescent="0.25">
      <c r="A227" s="2"/>
      <c r="B227" s="2"/>
      <c r="C227" s="2"/>
      <c r="D227" s="15"/>
      <c r="E227" s="15"/>
      <c r="F227" s="15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3"/>
      <c r="S227" s="13"/>
    </row>
    <row r="228" spans="1:19" x14ac:dyDescent="0.25">
      <c r="A228" s="2"/>
      <c r="B228" s="2"/>
      <c r="C228" s="10" t="s">
        <v>191</v>
      </c>
      <c r="D228" s="15"/>
      <c r="E228" s="15"/>
      <c r="F228" s="15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3"/>
      <c r="S228" s="13"/>
    </row>
    <row r="229" spans="1:19" x14ac:dyDescent="0.25">
      <c r="A229" s="2"/>
      <c r="B229" s="2"/>
      <c r="C229" s="10"/>
      <c r="D229" s="15"/>
      <c r="E229" s="15"/>
      <c r="F229" s="15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3"/>
      <c r="S229" s="13"/>
    </row>
    <row r="230" spans="1:19" x14ac:dyDescent="0.25">
      <c r="A230" s="2"/>
      <c r="B230" s="2"/>
      <c r="C230" s="10" t="s">
        <v>192</v>
      </c>
      <c r="D230" s="15"/>
      <c r="E230" s="15"/>
      <c r="F230" s="15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3"/>
      <c r="S230" s="13"/>
    </row>
    <row r="231" spans="1:19" x14ac:dyDescent="0.25">
      <c r="A231" s="2"/>
      <c r="B231" s="2"/>
      <c r="C231" s="2"/>
      <c r="D231" s="15"/>
      <c r="E231" s="15"/>
      <c r="F231" s="15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3"/>
      <c r="S231" s="13"/>
    </row>
    <row r="232" spans="1:19" x14ac:dyDescent="0.25">
      <c r="A232" s="2" t="s">
        <v>193</v>
      </c>
      <c r="B232" s="95" t="s">
        <v>65</v>
      </c>
      <c r="C232" s="2" t="s">
        <v>194</v>
      </c>
      <c r="D232" s="15">
        <v>32</v>
      </c>
      <c r="E232" s="15" t="s">
        <v>194</v>
      </c>
      <c r="F232" s="15" t="s">
        <v>195</v>
      </c>
      <c r="G232" s="14">
        <v>14000000</v>
      </c>
      <c r="H232" s="14">
        <f>13766097.36-3500000</f>
        <v>10266097.359999999</v>
      </c>
      <c r="I232" s="14"/>
      <c r="J232" s="14"/>
      <c r="K232" s="14">
        <f>H232</f>
        <v>10266097.359999999</v>
      </c>
      <c r="L232" s="14"/>
      <c r="M232" s="14" t="s">
        <v>67</v>
      </c>
      <c r="N232" s="14"/>
      <c r="O232" s="14">
        <f>3500000</f>
        <v>3500000</v>
      </c>
      <c r="P232" s="14">
        <f>O232+2454807.07+1511858.17</f>
        <v>7466665.2400000002</v>
      </c>
      <c r="Q232" s="14" t="s">
        <v>67</v>
      </c>
      <c r="R232" s="13"/>
      <c r="S232" s="13"/>
    </row>
    <row r="233" spans="1:19" x14ac:dyDescent="0.25">
      <c r="A233" s="2" t="s">
        <v>196</v>
      </c>
      <c r="B233" s="96"/>
      <c r="C233" s="2" t="s">
        <v>197</v>
      </c>
      <c r="D233" s="15">
        <v>11</v>
      </c>
      <c r="E233" s="15" t="s">
        <v>197</v>
      </c>
      <c r="F233" s="15" t="s">
        <v>198</v>
      </c>
      <c r="G233" s="14">
        <v>14000000</v>
      </c>
      <c r="H233" s="14">
        <f>14890833.29-3478390.5</f>
        <v>11412442.789999999</v>
      </c>
      <c r="I233" s="14"/>
      <c r="J233" s="14"/>
      <c r="K233" s="14">
        <f t="shared" ref="K233:K241" si="6">H233</f>
        <v>11412442.789999999</v>
      </c>
      <c r="L233" s="14"/>
      <c r="M233" s="14" t="s">
        <v>67</v>
      </c>
      <c r="N233" s="14"/>
      <c r="O233" s="14">
        <v>3478390.5</v>
      </c>
      <c r="P233" s="14">
        <f>5802883.84+647790.11</f>
        <v>6450673.9500000002</v>
      </c>
      <c r="Q233" s="14" t="s">
        <v>67</v>
      </c>
      <c r="R233" s="13"/>
      <c r="S233" s="13"/>
    </row>
    <row r="234" spans="1:19" x14ac:dyDescent="0.25">
      <c r="A234" s="2" t="s">
        <v>199</v>
      </c>
      <c r="B234" s="96"/>
      <c r="C234" s="2" t="s">
        <v>200</v>
      </c>
      <c r="D234" s="15">
        <v>2</v>
      </c>
      <c r="E234" s="15" t="s">
        <v>200</v>
      </c>
      <c r="F234" s="15" t="s">
        <v>201</v>
      </c>
      <c r="G234" s="14">
        <v>14000000</v>
      </c>
      <c r="H234" s="14">
        <v>13615787.33</v>
      </c>
      <c r="I234" s="14"/>
      <c r="J234" s="14"/>
      <c r="K234" s="14">
        <f t="shared" si="6"/>
        <v>13615787.33</v>
      </c>
      <c r="L234" s="14"/>
      <c r="M234" s="14" t="s">
        <v>67</v>
      </c>
      <c r="N234" s="14"/>
      <c r="O234" s="14"/>
      <c r="P234" s="14">
        <v>464822</v>
      </c>
      <c r="Q234" s="14" t="s">
        <v>67</v>
      </c>
      <c r="R234" s="13"/>
      <c r="S234" s="13"/>
    </row>
    <row r="235" spans="1:19" x14ac:dyDescent="0.25">
      <c r="A235" s="2" t="s">
        <v>202</v>
      </c>
      <c r="B235" s="96"/>
      <c r="C235" s="2" t="s">
        <v>203</v>
      </c>
      <c r="D235" s="15">
        <v>17</v>
      </c>
      <c r="E235" s="15" t="s">
        <v>203</v>
      </c>
      <c r="F235" s="15" t="s">
        <v>132</v>
      </c>
      <c r="G235" s="14">
        <v>14000000</v>
      </c>
      <c r="H235" s="14">
        <f>14372633.54-3478390.5</f>
        <v>10894243.039999999</v>
      </c>
      <c r="I235" s="14"/>
      <c r="J235" s="14"/>
      <c r="K235" s="14">
        <f t="shared" si="6"/>
        <v>10894243.039999999</v>
      </c>
      <c r="L235" s="14"/>
      <c r="M235" s="14" t="s">
        <v>67</v>
      </c>
      <c r="N235" s="14"/>
      <c r="O235" s="14">
        <v>3478391.5</v>
      </c>
      <c r="P235" s="14">
        <v>6059206</v>
      </c>
      <c r="Q235" s="14" t="s">
        <v>67</v>
      </c>
      <c r="R235" s="13"/>
      <c r="S235" s="13"/>
    </row>
    <row r="236" spans="1:19" x14ac:dyDescent="0.25">
      <c r="A236" s="2" t="s">
        <v>204</v>
      </c>
      <c r="B236" s="96"/>
      <c r="C236" s="2" t="s">
        <v>205</v>
      </c>
      <c r="D236" s="15" t="s">
        <v>206</v>
      </c>
      <c r="E236" s="15" t="s">
        <v>207</v>
      </c>
      <c r="F236" s="15" t="s">
        <v>208</v>
      </c>
      <c r="G236" s="14">
        <v>6193238</v>
      </c>
      <c r="H236" s="14">
        <v>0</v>
      </c>
      <c r="I236" s="14"/>
      <c r="J236" s="14"/>
      <c r="K236" s="14">
        <f t="shared" si="6"/>
        <v>0</v>
      </c>
      <c r="L236" s="14"/>
      <c r="M236" s="14" t="s">
        <v>67</v>
      </c>
      <c r="N236" s="14"/>
      <c r="O236" s="14">
        <v>6100000</v>
      </c>
      <c r="P236" s="14">
        <f>O236</f>
        <v>6100000</v>
      </c>
      <c r="Q236" s="14" t="s">
        <v>67</v>
      </c>
      <c r="R236" s="13"/>
      <c r="S236" s="13"/>
    </row>
    <row r="237" spans="1:19" x14ac:dyDescent="0.25">
      <c r="A237" s="2"/>
      <c r="B237" s="96"/>
      <c r="C237" s="10" t="s">
        <v>209</v>
      </c>
      <c r="D237" s="15"/>
      <c r="E237" s="15"/>
      <c r="F237" s="15"/>
      <c r="G237" s="14"/>
      <c r="H237" s="14"/>
      <c r="I237" s="14"/>
      <c r="J237" s="14"/>
      <c r="K237" s="14">
        <f t="shared" si="6"/>
        <v>0</v>
      </c>
      <c r="L237" s="14"/>
      <c r="M237" s="14"/>
      <c r="N237" s="14"/>
      <c r="O237" s="14"/>
      <c r="P237" s="14"/>
      <c r="Q237" s="14"/>
      <c r="R237" s="13"/>
      <c r="S237" s="13"/>
    </row>
    <row r="238" spans="1:19" x14ac:dyDescent="0.25">
      <c r="A238" s="2" t="s">
        <v>210</v>
      </c>
      <c r="B238" s="96"/>
      <c r="C238" s="2" t="s">
        <v>211</v>
      </c>
      <c r="D238" s="15">
        <v>30</v>
      </c>
      <c r="E238" s="15" t="s">
        <v>212</v>
      </c>
      <c r="F238" s="15" t="s">
        <v>136</v>
      </c>
      <c r="G238" s="14">
        <v>0</v>
      </c>
      <c r="H238" s="14">
        <v>3874721.8945000004</v>
      </c>
      <c r="I238" s="14"/>
      <c r="J238" s="14"/>
      <c r="K238" s="14">
        <f t="shared" si="6"/>
        <v>3874721.8945000004</v>
      </c>
      <c r="L238" s="14"/>
      <c r="M238" s="14" t="s">
        <v>67</v>
      </c>
      <c r="N238" s="14"/>
      <c r="O238" s="14"/>
      <c r="P238" s="14"/>
      <c r="Q238" s="14"/>
      <c r="R238" s="13"/>
      <c r="S238" s="13"/>
    </row>
    <row r="239" spans="1:19" x14ac:dyDescent="0.25">
      <c r="A239" s="2" t="s">
        <v>213</v>
      </c>
      <c r="B239" s="96"/>
      <c r="C239" s="2" t="s">
        <v>214</v>
      </c>
      <c r="D239" s="15">
        <v>3</v>
      </c>
      <c r="E239" s="15" t="s">
        <v>215</v>
      </c>
      <c r="F239" s="15"/>
      <c r="G239" s="14">
        <v>0</v>
      </c>
      <c r="H239" s="14">
        <v>931357.23749999842</v>
      </c>
      <c r="I239" s="14"/>
      <c r="J239" s="14"/>
      <c r="K239" s="14">
        <f t="shared" si="6"/>
        <v>931357.23749999842</v>
      </c>
      <c r="L239" s="14"/>
      <c r="M239" s="14" t="s">
        <v>67</v>
      </c>
      <c r="N239" s="14"/>
      <c r="O239" s="14"/>
      <c r="P239" s="14"/>
      <c r="Q239" s="14"/>
      <c r="R239" s="13"/>
      <c r="S239" s="13"/>
    </row>
    <row r="240" spans="1:19" x14ac:dyDescent="0.25">
      <c r="A240" s="2" t="s">
        <v>216</v>
      </c>
      <c r="B240" s="96"/>
      <c r="C240" s="2" t="s">
        <v>217</v>
      </c>
      <c r="D240" s="15">
        <v>1</v>
      </c>
      <c r="E240" s="15" t="s">
        <v>218</v>
      </c>
      <c r="F240" s="15"/>
      <c r="G240" s="14">
        <v>0</v>
      </c>
      <c r="H240" s="14">
        <v>3736886.8340000003</v>
      </c>
      <c r="I240" s="14"/>
      <c r="J240" s="14"/>
      <c r="K240" s="14">
        <f t="shared" si="6"/>
        <v>3736886.8340000003</v>
      </c>
      <c r="L240" s="14"/>
      <c r="M240" s="14" t="s">
        <v>67</v>
      </c>
      <c r="N240" s="14"/>
      <c r="O240" s="14"/>
      <c r="P240" s="14"/>
      <c r="Q240" s="14"/>
      <c r="R240" s="13"/>
      <c r="S240" s="13"/>
    </row>
    <row r="241" spans="1:21" x14ac:dyDescent="0.25">
      <c r="A241" s="2" t="s">
        <v>219</v>
      </c>
      <c r="B241" s="96"/>
      <c r="C241" s="2" t="s">
        <v>220</v>
      </c>
      <c r="D241" s="15"/>
      <c r="E241" s="15"/>
      <c r="F241" s="15"/>
      <c r="G241" s="14">
        <v>0</v>
      </c>
      <c r="H241" s="14">
        <v>6456781.2000000002</v>
      </c>
      <c r="I241" s="14"/>
      <c r="J241" s="14"/>
      <c r="K241" s="14">
        <f t="shared" si="6"/>
        <v>6456781.2000000002</v>
      </c>
      <c r="L241" s="14"/>
      <c r="M241" s="14"/>
      <c r="N241" s="14"/>
      <c r="O241" s="14"/>
      <c r="P241" s="14">
        <v>1315655.7764999999</v>
      </c>
      <c r="Q241" s="14" t="s">
        <v>67</v>
      </c>
      <c r="R241" s="13"/>
      <c r="S241" s="13"/>
    </row>
    <row r="242" spans="1:21" x14ac:dyDescent="0.25">
      <c r="A242" s="2" t="s">
        <v>221</v>
      </c>
      <c r="B242" s="96"/>
      <c r="C242" s="2" t="s">
        <v>222</v>
      </c>
      <c r="D242" s="15">
        <v>20</v>
      </c>
      <c r="E242" s="15" t="s">
        <v>223</v>
      </c>
      <c r="F242" s="15" t="s">
        <v>224</v>
      </c>
      <c r="G242" s="14"/>
      <c r="H242" s="14"/>
      <c r="I242" s="14"/>
      <c r="J242" s="14"/>
      <c r="K242" s="14"/>
      <c r="L242" s="14"/>
      <c r="M242" s="14"/>
      <c r="N242" s="14" t="s">
        <v>67</v>
      </c>
      <c r="O242" s="14">
        <v>15000000</v>
      </c>
      <c r="P242" s="14">
        <v>16896159.199999999</v>
      </c>
      <c r="Q242" s="14" t="s">
        <v>67</v>
      </c>
      <c r="R242" s="13"/>
      <c r="S242" s="13"/>
    </row>
    <row r="243" spans="1:21" x14ac:dyDescent="0.25">
      <c r="A243" s="2" t="s">
        <v>225</v>
      </c>
      <c r="B243" s="96"/>
      <c r="C243" s="2" t="s">
        <v>226</v>
      </c>
      <c r="D243" s="15">
        <v>19</v>
      </c>
      <c r="E243" s="15" t="s">
        <v>104</v>
      </c>
      <c r="F243" s="15" t="s">
        <v>227</v>
      </c>
      <c r="G243" s="14"/>
      <c r="H243" s="14"/>
      <c r="I243" s="14"/>
      <c r="J243" s="14"/>
      <c r="K243" s="14"/>
      <c r="L243" s="14"/>
      <c r="M243" s="14"/>
      <c r="N243" s="14" t="s">
        <v>67</v>
      </c>
      <c r="O243" s="14">
        <v>15000000</v>
      </c>
      <c r="P243" s="14">
        <f>O243</f>
        <v>15000000</v>
      </c>
      <c r="Q243" s="14" t="s">
        <v>67</v>
      </c>
      <c r="R243" s="13"/>
      <c r="S243" s="13"/>
    </row>
    <row r="244" spans="1:21" x14ac:dyDescent="0.25">
      <c r="A244" s="2" t="s">
        <v>228</v>
      </c>
      <c r="B244" s="96"/>
      <c r="C244" s="2" t="s">
        <v>229</v>
      </c>
      <c r="D244" s="15">
        <v>21</v>
      </c>
      <c r="E244" s="15" t="s">
        <v>230</v>
      </c>
      <c r="F244" s="15" t="s">
        <v>231</v>
      </c>
      <c r="G244" s="14"/>
      <c r="H244" s="14"/>
      <c r="I244" s="14"/>
      <c r="J244" s="14"/>
      <c r="K244" s="14"/>
      <c r="L244" s="14"/>
      <c r="M244" s="14"/>
      <c r="N244" s="14" t="s">
        <v>67</v>
      </c>
      <c r="O244" s="14">
        <v>2000000</v>
      </c>
      <c r="P244" s="14">
        <f>O244</f>
        <v>2000000</v>
      </c>
      <c r="Q244" s="14" t="s">
        <v>67</v>
      </c>
      <c r="R244" s="13">
        <v>10000000</v>
      </c>
      <c r="S244" s="13" t="s">
        <v>67</v>
      </c>
    </row>
    <row r="245" spans="1:21" x14ac:dyDescent="0.25">
      <c r="A245" s="2" t="s">
        <v>232</v>
      </c>
      <c r="B245" s="96"/>
      <c r="C245" s="2" t="s">
        <v>233</v>
      </c>
      <c r="D245" s="15">
        <v>9</v>
      </c>
      <c r="E245" s="15" t="s">
        <v>234</v>
      </c>
      <c r="F245" s="15" t="s">
        <v>235</v>
      </c>
      <c r="G245" s="14"/>
      <c r="H245" s="14"/>
      <c r="I245" s="14"/>
      <c r="J245" s="14"/>
      <c r="K245" s="14"/>
      <c r="L245" s="14"/>
      <c r="M245" s="14"/>
      <c r="N245" s="14" t="s">
        <v>67</v>
      </c>
      <c r="O245" s="14">
        <v>12425000</v>
      </c>
      <c r="P245" s="14">
        <f>O245</f>
        <v>12425000</v>
      </c>
      <c r="Q245" s="14" t="s">
        <v>67</v>
      </c>
      <c r="R245" s="13"/>
      <c r="S245" s="13" t="s">
        <v>67</v>
      </c>
    </row>
    <row r="246" spans="1:21" x14ac:dyDescent="0.25">
      <c r="A246" s="2" t="s">
        <v>236</v>
      </c>
      <c r="B246" s="96"/>
      <c r="C246" s="2" t="s">
        <v>237</v>
      </c>
      <c r="D246" s="15">
        <v>15</v>
      </c>
      <c r="E246" s="15" t="s">
        <v>154</v>
      </c>
      <c r="F246" s="15" t="s">
        <v>238</v>
      </c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 t="s">
        <v>67</v>
      </c>
      <c r="R246" s="13">
        <f>20000000-3333333</f>
        <v>16666667</v>
      </c>
      <c r="S246" s="13" t="s">
        <v>67</v>
      </c>
      <c r="T246" s="90">
        <v>3333333</v>
      </c>
      <c r="U246" s="2" t="s">
        <v>67</v>
      </c>
    </row>
    <row r="247" spans="1:21" x14ac:dyDescent="0.25">
      <c r="A247" s="2" t="s">
        <v>239</v>
      </c>
      <c r="B247" s="96"/>
      <c r="C247" s="2" t="s">
        <v>240</v>
      </c>
      <c r="D247" s="15">
        <v>26</v>
      </c>
      <c r="E247" s="15" t="s">
        <v>241</v>
      </c>
      <c r="F247" s="15" t="s">
        <v>242</v>
      </c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 t="s">
        <v>67</v>
      </c>
      <c r="R247" s="13">
        <f>20000000-3333333</f>
        <v>16666667</v>
      </c>
      <c r="S247" s="13" t="s">
        <v>67</v>
      </c>
      <c r="T247" s="90">
        <v>3333333</v>
      </c>
      <c r="U247" s="2" t="s">
        <v>67</v>
      </c>
    </row>
    <row r="248" spans="1:21" x14ac:dyDescent="0.25">
      <c r="A248" s="2" t="s">
        <v>243</v>
      </c>
      <c r="B248" s="97"/>
      <c r="C248" s="2" t="s">
        <v>244</v>
      </c>
      <c r="D248" s="15">
        <v>8</v>
      </c>
      <c r="E248" s="15" t="s">
        <v>245</v>
      </c>
      <c r="F248" s="15" t="s">
        <v>246</v>
      </c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 t="s">
        <v>67</v>
      </c>
      <c r="R248" s="13">
        <f>20000000-3333333</f>
        <v>16666667</v>
      </c>
      <c r="S248" s="13" t="s">
        <v>67</v>
      </c>
      <c r="T248" s="90">
        <v>3333333</v>
      </c>
      <c r="U248" s="2" t="s">
        <v>67</v>
      </c>
    </row>
    <row r="249" spans="1:21" x14ac:dyDescent="0.25">
      <c r="A249" s="2" t="s">
        <v>219</v>
      </c>
      <c r="B249" s="63"/>
      <c r="C249" s="2" t="s">
        <v>401</v>
      </c>
      <c r="D249" s="15">
        <v>18</v>
      </c>
      <c r="E249" s="15" t="s">
        <v>247</v>
      </c>
      <c r="F249" s="15" t="s">
        <v>172</v>
      </c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3"/>
      <c r="S249" s="13" t="s">
        <v>67</v>
      </c>
      <c r="T249" s="90">
        <v>26000000</v>
      </c>
    </row>
    <row r="250" spans="1:21" s="8" customFormat="1" ht="15.75" thickBot="1" x14ac:dyDescent="0.3">
      <c r="A250" s="58"/>
      <c r="B250" s="58"/>
      <c r="C250" s="58" t="s">
        <v>248</v>
      </c>
      <c r="D250" s="57"/>
      <c r="E250" s="57"/>
      <c r="F250" s="57"/>
      <c r="G250" s="56">
        <f>SUM(G232:G241)</f>
        <v>62193238</v>
      </c>
      <c r="H250" s="56">
        <f>SUM(H232:H241)</f>
        <v>61188317.685999997</v>
      </c>
      <c r="I250" s="56">
        <f>SUM(I232:I241)</f>
        <v>0</v>
      </c>
      <c r="J250" s="56">
        <f>SUM(J232:J241)</f>
        <v>0</v>
      </c>
      <c r="K250" s="56">
        <f>SUM(K232:K241)</f>
        <v>61188317.685999997</v>
      </c>
      <c r="L250" s="56">
        <v>0</v>
      </c>
      <c r="M250" s="56"/>
      <c r="N250" s="56"/>
      <c r="O250" s="56">
        <f t="shared" ref="O250:S250" si="7">SUM(O232:O249)</f>
        <v>60981782</v>
      </c>
      <c r="P250" s="56">
        <f>SUM(P232:P249)</f>
        <v>74178182.166500002</v>
      </c>
      <c r="Q250" s="56">
        <f t="shared" si="7"/>
        <v>0</v>
      </c>
      <c r="R250" s="56">
        <f>SUM(R232:R249)</f>
        <v>60000001</v>
      </c>
      <c r="S250" s="56">
        <f t="shared" si="7"/>
        <v>0</v>
      </c>
      <c r="T250" s="56">
        <f>SUM(T232:T249)</f>
        <v>35999999</v>
      </c>
      <c r="U250" s="86"/>
    </row>
    <row r="251" spans="1:21" x14ac:dyDescent="0.25">
      <c r="A251" s="16"/>
      <c r="B251" s="16"/>
      <c r="C251" s="16"/>
      <c r="D251" s="20"/>
      <c r="E251" s="20"/>
      <c r="F251" s="20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8"/>
      <c r="S251" s="18"/>
      <c r="T251" s="17"/>
      <c r="U251" s="16"/>
    </row>
    <row r="252" spans="1:21" x14ac:dyDescent="0.25">
      <c r="A252" s="2"/>
      <c r="B252" s="2"/>
      <c r="C252" s="10" t="s">
        <v>249</v>
      </c>
      <c r="D252" s="15"/>
      <c r="E252" s="15"/>
      <c r="F252" s="15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3"/>
      <c r="S252" s="13"/>
    </row>
    <row r="253" spans="1:21" x14ac:dyDescent="0.25">
      <c r="A253" s="2"/>
      <c r="B253" s="2"/>
      <c r="C253" s="10"/>
      <c r="D253" s="15"/>
      <c r="E253" s="15"/>
      <c r="F253" s="15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3"/>
      <c r="S253" s="13"/>
    </row>
    <row r="254" spans="1:21" x14ac:dyDescent="0.25">
      <c r="A254" s="2"/>
      <c r="B254" s="2"/>
      <c r="C254" s="10" t="s">
        <v>250</v>
      </c>
      <c r="D254" s="15"/>
      <c r="E254" s="15"/>
      <c r="F254" s="15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3"/>
      <c r="S254" s="13"/>
    </row>
    <row r="255" spans="1:21" x14ac:dyDescent="0.25">
      <c r="A255" s="2"/>
      <c r="B255" s="2"/>
      <c r="C255" s="2"/>
      <c r="D255" s="15"/>
      <c r="E255" s="15"/>
      <c r="F255" s="15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3"/>
      <c r="S255" s="13"/>
    </row>
    <row r="256" spans="1:21" x14ac:dyDescent="0.25">
      <c r="A256" s="2" t="s">
        <v>251</v>
      </c>
      <c r="B256" s="95" t="s">
        <v>65</v>
      </c>
      <c r="C256" s="2" t="s">
        <v>184</v>
      </c>
      <c r="D256" s="15">
        <v>4</v>
      </c>
      <c r="E256" s="15" t="s">
        <v>184</v>
      </c>
      <c r="F256" s="15" t="s">
        <v>252</v>
      </c>
      <c r="G256" s="14">
        <v>1839906</v>
      </c>
      <c r="H256" s="14">
        <v>3166760.39</v>
      </c>
      <c r="I256" s="14"/>
      <c r="J256" s="14"/>
      <c r="K256" s="14">
        <f>H256</f>
        <v>3166760.39</v>
      </c>
      <c r="L256" s="14"/>
      <c r="M256" s="14" t="s">
        <v>67</v>
      </c>
      <c r="N256" s="14" t="s">
        <v>67</v>
      </c>
      <c r="O256" s="14">
        <v>0</v>
      </c>
      <c r="P256" s="14">
        <v>0</v>
      </c>
      <c r="Q256" s="14" t="s">
        <v>67</v>
      </c>
      <c r="R256" s="13"/>
      <c r="S256" s="13"/>
    </row>
    <row r="257" spans="1:19" x14ac:dyDescent="0.25">
      <c r="A257" s="2" t="s">
        <v>260</v>
      </c>
      <c r="B257" s="96"/>
      <c r="C257" s="2" t="s">
        <v>253</v>
      </c>
      <c r="D257" s="15">
        <v>5</v>
      </c>
      <c r="E257" s="15" t="s">
        <v>253</v>
      </c>
      <c r="F257" s="15" t="s">
        <v>254</v>
      </c>
      <c r="G257" s="14">
        <v>1839906</v>
      </c>
      <c r="H257" s="14">
        <v>1839906</v>
      </c>
      <c r="I257" s="14"/>
      <c r="J257" s="14"/>
      <c r="K257" s="14">
        <f t="shared" ref="K257:K260" si="8">H257</f>
        <v>1839906</v>
      </c>
      <c r="L257" s="14"/>
      <c r="M257" s="14" t="s">
        <v>67</v>
      </c>
      <c r="N257" s="14" t="s">
        <v>67</v>
      </c>
      <c r="O257" s="14">
        <v>1522587</v>
      </c>
      <c r="P257" s="14">
        <f>O257+3150000</f>
        <v>4672587</v>
      </c>
      <c r="Q257" s="14" t="s">
        <v>67</v>
      </c>
      <c r="R257" s="13"/>
      <c r="S257" s="13"/>
    </row>
    <row r="258" spans="1:19" x14ac:dyDescent="0.25">
      <c r="A258" s="2" t="s">
        <v>255</v>
      </c>
      <c r="B258" s="96"/>
      <c r="C258" s="2" t="s">
        <v>256</v>
      </c>
      <c r="D258" s="15">
        <v>27</v>
      </c>
      <c r="E258" s="15" t="s">
        <v>256</v>
      </c>
      <c r="F258" s="15" t="s">
        <v>257</v>
      </c>
      <c r="G258" s="14">
        <v>1839906</v>
      </c>
      <c r="H258" s="14">
        <v>0</v>
      </c>
      <c r="I258" s="14"/>
      <c r="J258" s="14"/>
      <c r="K258" s="14">
        <f t="shared" si="8"/>
        <v>0</v>
      </c>
      <c r="L258" s="14"/>
      <c r="M258" s="14" t="s">
        <v>67</v>
      </c>
      <c r="N258" s="14" t="s">
        <v>67</v>
      </c>
      <c r="O258" s="14">
        <f>1522587+1839906</f>
        <v>3362493</v>
      </c>
      <c r="P258" s="14">
        <f>O258+739670+2163000</f>
        <v>6265163</v>
      </c>
      <c r="Q258" s="14" t="s">
        <v>67</v>
      </c>
      <c r="R258" s="13"/>
      <c r="S258" s="13"/>
    </row>
    <row r="259" spans="1:19" x14ac:dyDescent="0.25">
      <c r="A259" s="2" t="s">
        <v>258</v>
      </c>
      <c r="B259" s="96"/>
      <c r="C259" s="2" t="s">
        <v>141</v>
      </c>
      <c r="D259" s="15">
        <v>12</v>
      </c>
      <c r="E259" s="15" t="s">
        <v>141</v>
      </c>
      <c r="F259" s="15" t="s">
        <v>259</v>
      </c>
      <c r="G259" s="14">
        <v>1839906</v>
      </c>
      <c r="H259" s="14">
        <v>1839906</v>
      </c>
      <c r="I259" s="14"/>
      <c r="J259" s="14"/>
      <c r="K259" s="14">
        <f t="shared" si="8"/>
        <v>1839906</v>
      </c>
      <c r="L259" s="14"/>
      <c r="M259" s="14" t="s">
        <v>67</v>
      </c>
      <c r="N259" s="14" t="s">
        <v>67</v>
      </c>
      <c r="O259" s="14">
        <f>1522587+1522587</f>
        <v>3045174</v>
      </c>
      <c r="P259" s="14">
        <v>10123570</v>
      </c>
      <c r="Q259" s="14" t="s">
        <v>67</v>
      </c>
      <c r="R259" s="13"/>
      <c r="S259" s="13"/>
    </row>
    <row r="260" spans="1:19" x14ac:dyDescent="0.25">
      <c r="A260" s="2" t="s">
        <v>260</v>
      </c>
      <c r="B260" s="96"/>
      <c r="C260" s="2" t="s">
        <v>261</v>
      </c>
      <c r="D260" s="15">
        <v>11</v>
      </c>
      <c r="E260" s="15" t="s">
        <v>261</v>
      </c>
      <c r="F260" s="15" t="s">
        <v>262</v>
      </c>
      <c r="G260" s="14">
        <v>1839906</v>
      </c>
      <c r="H260" s="14">
        <v>3443681.37</v>
      </c>
      <c r="I260" s="14"/>
      <c r="J260" s="14"/>
      <c r="K260" s="14">
        <f t="shared" si="8"/>
        <v>3443681.37</v>
      </c>
      <c r="L260" s="14"/>
      <c r="M260" s="14" t="s">
        <v>67</v>
      </c>
      <c r="N260" s="14" t="s">
        <v>67</v>
      </c>
      <c r="O260" s="14">
        <v>1522590</v>
      </c>
      <c r="P260" s="14">
        <v>1522590</v>
      </c>
      <c r="Q260" s="14" t="s">
        <v>67</v>
      </c>
      <c r="R260" s="13"/>
      <c r="S260" s="13"/>
    </row>
    <row r="261" spans="1:19" x14ac:dyDescent="0.25">
      <c r="A261" s="2"/>
      <c r="B261" s="96"/>
      <c r="C261" s="10" t="s">
        <v>209</v>
      </c>
      <c r="D261" s="15"/>
      <c r="E261" s="15"/>
      <c r="F261" s="15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 t="s">
        <v>67</v>
      </c>
      <c r="R261" s="13"/>
      <c r="S261" s="13"/>
    </row>
    <row r="262" spans="1:19" x14ac:dyDescent="0.25">
      <c r="A262" s="2" t="s">
        <v>263</v>
      </c>
      <c r="B262" s="96"/>
      <c r="C262" s="2" t="s">
        <v>264</v>
      </c>
      <c r="D262" s="15">
        <v>24</v>
      </c>
      <c r="E262" s="15" t="s">
        <v>264</v>
      </c>
      <c r="F262" s="15" t="s">
        <v>157</v>
      </c>
      <c r="G262" s="14">
        <v>0</v>
      </c>
      <c r="H262" s="14">
        <f>1501982.607+700000</f>
        <v>2201982.6069999998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3"/>
      <c r="S262" s="13"/>
    </row>
    <row r="263" spans="1:19" x14ac:dyDescent="0.25">
      <c r="A263" s="2"/>
      <c r="B263" s="96"/>
      <c r="C263" s="2"/>
      <c r="D263" s="15"/>
      <c r="E263" s="15"/>
      <c r="F263" s="15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3"/>
      <c r="S263" s="13"/>
    </row>
    <row r="264" spans="1:19" x14ac:dyDescent="0.25">
      <c r="A264" s="2" t="s">
        <v>265</v>
      </c>
      <c r="B264" s="96"/>
      <c r="C264" s="2" t="s">
        <v>138</v>
      </c>
      <c r="D264" s="15">
        <v>1</v>
      </c>
      <c r="E264" s="15" t="s">
        <v>266</v>
      </c>
      <c r="F264" s="15" t="s">
        <v>118</v>
      </c>
      <c r="G264" s="14">
        <v>2614404</v>
      </c>
      <c r="H264" s="14">
        <v>0</v>
      </c>
      <c r="I264" s="14"/>
      <c r="J264" s="14"/>
      <c r="K264" s="14">
        <f>H264</f>
        <v>0</v>
      </c>
      <c r="L264" s="14"/>
      <c r="M264" s="14" t="s">
        <v>67</v>
      </c>
      <c r="N264" s="14"/>
      <c r="O264" s="14">
        <v>2614404</v>
      </c>
      <c r="P264" s="14">
        <v>2954926.89</v>
      </c>
      <c r="Q264" s="14" t="s">
        <v>67</v>
      </c>
      <c r="R264" s="13"/>
      <c r="S264" s="13"/>
    </row>
    <row r="265" spans="1:19" x14ac:dyDescent="0.25">
      <c r="A265" s="2" t="s">
        <v>267</v>
      </c>
      <c r="B265" s="96"/>
      <c r="C265" s="2" t="s">
        <v>268</v>
      </c>
      <c r="D265" s="15">
        <v>13</v>
      </c>
      <c r="E265" s="15" t="s">
        <v>268</v>
      </c>
      <c r="F265" s="15" t="s">
        <v>269</v>
      </c>
      <c r="G265" s="14">
        <v>2614404</v>
      </c>
      <c r="H265" s="14">
        <v>0</v>
      </c>
      <c r="I265" s="14"/>
      <c r="J265" s="14"/>
      <c r="K265" s="14">
        <f t="shared" ref="K265:K269" si="9">H265</f>
        <v>0</v>
      </c>
      <c r="L265" s="14"/>
      <c r="M265" s="14" t="s">
        <v>67</v>
      </c>
      <c r="N265" s="14"/>
      <c r="O265" s="14">
        <v>2614404</v>
      </c>
      <c r="P265" s="14">
        <f>2614404+3150000</f>
        <v>5764404</v>
      </c>
      <c r="Q265" s="14" t="s">
        <v>67</v>
      </c>
      <c r="R265" s="13"/>
      <c r="S265" s="13"/>
    </row>
    <row r="266" spans="1:19" x14ac:dyDescent="0.25">
      <c r="A266" s="2" t="s">
        <v>270</v>
      </c>
      <c r="B266" s="96"/>
      <c r="C266" s="2" t="s">
        <v>271</v>
      </c>
      <c r="D266" s="15">
        <v>23</v>
      </c>
      <c r="E266" s="15" t="s">
        <v>271</v>
      </c>
      <c r="F266" s="15" t="s">
        <v>77</v>
      </c>
      <c r="G266" s="14">
        <v>2614404</v>
      </c>
      <c r="H266" s="14">
        <v>0</v>
      </c>
      <c r="I266" s="14"/>
      <c r="J266" s="14"/>
      <c r="K266" s="14">
        <f t="shared" si="9"/>
        <v>0</v>
      </c>
      <c r="L266" s="14"/>
      <c r="M266" s="14" t="s">
        <v>67</v>
      </c>
      <c r="N266" s="14"/>
      <c r="O266" s="14">
        <v>2614404</v>
      </c>
      <c r="P266" s="14">
        <f>O266+300000+1521851.5</f>
        <v>4436255.5</v>
      </c>
      <c r="Q266" s="14" t="s">
        <v>67</v>
      </c>
      <c r="R266" s="13"/>
      <c r="S266" s="13"/>
    </row>
    <row r="267" spans="1:19" x14ac:dyDescent="0.25">
      <c r="A267" s="2" t="s">
        <v>272</v>
      </c>
      <c r="B267" s="96"/>
      <c r="C267" s="2" t="s">
        <v>271</v>
      </c>
      <c r="D267" s="15">
        <v>24</v>
      </c>
      <c r="E267" s="15" t="s">
        <v>271</v>
      </c>
      <c r="F267" s="15" t="s">
        <v>273</v>
      </c>
      <c r="G267" s="14">
        <v>2614404</v>
      </c>
      <c r="H267" s="14">
        <v>0</v>
      </c>
      <c r="I267" s="14"/>
      <c r="J267" s="14"/>
      <c r="K267" s="14">
        <f t="shared" si="9"/>
        <v>0</v>
      </c>
      <c r="L267" s="14"/>
      <c r="M267" s="14" t="s">
        <v>67</v>
      </c>
      <c r="N267" s="14"/>
      <c r="O267" s="14">
        <v>2614404</v>
      </c>
      <c r="P267" s="14">
        <f>O267+300000+1521851.5</f>
        <v>4436255.5</v>
      </c>
      <c r="Q267" s="14" t="s">
        <v>67</v>
      </c>
      <c r="R267" s="13"/>
      <c r="S267" s="13"/>
    </row>
    <row r="268" spans="1:19" x14ac:dyDescent="0.25">
      <c r="A268" s="2" t="s">
        <v>274</v>
      </c>
      <c r="B268" s="96"/>
      <c r="C268" s="2" t="s">
        <v>275</v>
      </c>
      <c r="D268" s="15">
        <v>10</v>
      </c>
      <c r="E268" s="15" t="s">
        <v>275</v>
      </c>
      <c r="F268" s="15" t="s">
        <v>276</v>
      </c>
      <c r="G268" s="14">
        <v>2614404</v>
      </c>
      <c r="H268" s="14">
        <v>0</v>
      </c>
      <c r="I268" s="14"/>
      <c r="J268" s="14"/>
      <c r="K268" s="14">
        <f t="shared" si="9"/>
        <v>0</v>
      </c>
      <c r="L268" s="14"/>
      <c r="M268" s="14" t="s">
        <v>67</v>
      </c>
      <c r="N268" s="14"/>
      <c r="O268" s="14">
        <v>2614404</v>
      </c>
      <c r="P268" s="14">
        <f>O268+3150000</f>
        <v>5764404</v>
      </c>
      <c r="Q268" s="14" t="s">
        <v>67</v>
      </c>
      <c r="R268" s="13"/>
      <c r="S268" s="13"/>
    </row>
    <row r="269" spans="1:19" x14ac:dyDescent="0.25">
      <c r="A269" s="2" t="s">
        <v>277</v>
      </c>
      <c r="B269" s="96"/>
      <c r="C269" s="2" t="s">
        <v>278</v>
      </c>
      <c r="D269" s="15">
        <v>15</v>
      </c>
      <c r="E269" s="15" t="s">
        <v>154</v>
      </c>
      <c r="F269" s="15" t="s">
        <v>238</v>
      </c>
      <c r="G269" s="14">
        <v>1839906</v>
      </c>
      <c r="H269" s="14">
        <v>0</v>
      </c>
      <c r="I269" s="14"/>
      <c r="J269" s="14"/>
      <c r="K269" s="14">
        <f t="shared" si="9"/>
        <v>0</v>
      </c>
      <c r="L269" s="14"/>
      <c r="M269" s="14"/>
      <c r="N269" s="14" t="s">
        <v>67</v>
      </c>
      <c r="O269" s="14">
        <f>1522587+1839906</f>
        <v>3362493</v>
      </c>
      <c r="P269" s="14">
        <f>O269</f>
        <v>3362493</v>
      </c>
      <c r="Q269" s="14" t="s">
        <v>67</v>
      </c>
      <c r="R269" s="89"/>
      <c r="S269" s="13"/>
    </row>
    <row r="270" spans="1:19" x14ac:dyDescent="0.25">
      <c r="A270" s="2" t="s">
        <v>279</v>
      </c>
      <c r="B270" s="96"/>
      <c r="C270" s="2" t="s">
        <v>280</v>
      </c>
      <c r="D270" s="15">
        <v>31</v>
      </c>
      <c r="E270" s="15" t="s">
        <v>280</v>
      </c>
      <c r="F270" s="15" t="s">
        <v>281</v>
      </c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89">
        <f>4166666-1496110.03</f>
        <v>2670555.9699999997</v>
      </c>
      <c r="S270" s="13" t="s">
        <v>67</v>
      </c>
    </row>
    <row r="271" spans="1:19" x14ac:dyDescent="0.25">
      <c r="A271" s="2" t="s">
        <v>282</v>
      </c>
      <c r="B271" s="96"/>
      <c r="C271" s="2" t="s">
        <v>283</v>
      </c>
      <c r="D271" s="15">
        <v>2</v>
      </c>
      <c r="E271" s="15" t="s">
        <v>283</v>
      </c>
      <c r="F271" s="15" t="s">
        <v>162</v>
      </c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89">
        <f t="shared" ref="R271:R275" si="10">4166666-1496110.03</f>
        <v>2670555.9699999997</v>
      </c>
      <c r="S271" s="13" t="s">
        <v>67</v>
      </c>
    </row>
    <row r="272" spans="1:19" x14ac:dyDescent="0.25">
      <c r="A272" s="2" t="s">
        <v>284</v>
      </c>
      <c r="B272" s="96"/>
      <c r="C272" s="2" t="s">
        <v>285</v>
      </c>
      <c r="D272" s="15">
        <v>17</v>
      </c>
      <c r="E272" s="15" t="s">
        <v>285</v>
      </c>
      <c r="F272" s="15" t="s">
        <v>132</v>
      </c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89">
        <f t="shared" si="10"/>
        <v>2670555.9699999997</v>
      </c>
      <c r="S272" s="13" t="s">
        <v>67</v>
      </c>
    </row>
    <row r="273" spans="1:21" x14ac:dyDescent="0.25">
      <c r="A273" s="2" t="s">
        <v>286</v>
      </c>
      <c r="B273" s="96"/>
      <c r="C273" s="2" t="s">
        <v>264</v>
      </c>
      <c r="D273" s="15" t="s">
        <v>287</v>
      </c>
      <c r="E273" s="15" t="s">
        <v>264</v>
      </c>
      <c r="F273" s="15" t="s">
        <v>157</v>
      </c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89">
        <f t="shared" si="10"/>
        <v>2670555.9699999997</v>
      </c>
      <c r="S273" s="13" t="s">
        <v>67</v>
      </c>
    </row>
    <row r="274" spans="1:21" x14ac:dyDescent="0.25">
      <c r="A274" s="2" t="s">
        <v>288</v>
      </c>
      <c r="B274" s="96"/>
      <c r="C274" s="2" t="s">
        <v>289</v>
      </c>
      <c r="D274" s="15">
        <v>26</v>
      </c>
      <c r="E274" s="15" t="s">
        <v>289</v>
      </c>
      <c r="F274" s="15" t="s">
        <v>290</v>
      </c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89">
        <f t="shared" si="10"/>
        <v>2670555.9699999997</v>
      </c>
      <c r="S274" s="13" t="s">
        <v>67</v>
      </c>
    </row>
    <row r="275" spans="1:21" x14ac:dyDescent="0.25">
      <c r="A275" s="2" t="s">
        <v>291</v>
      </c>
      <c r="B275" s="97"/>
      <c r="C275" s="2" t="s">
        <v>292</v>
      </c>
      <c r="D275" s="15" t="s">
        <v>293</v>
      </c>
      <c r="E275" s="15" t="s">
        <v>292</v>
      </c>
      <c r="F275" s="15" t="s">
        <v>294</v>
      </c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89">
        <f t="shared" si="10"/>
        <v>2670555.9699999997</v>
      </c>
      <c r="S275" s="13" t="s">
        <v>67</v>
      </c>
    </row>
    <row r="276" spans="1:21" x14ac:dyDescent="0.25">
      <c r="A276" s="2"/>
      <c r="B276" s="2"/>
      <c r="C276" s="2"/>
      <c r="D276" s="15"/>
      <c r="E276" s="15"/>
      <c r="F276" s="15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89"/>
      <c r="S276" s="13"/>
    </row>
    <row r="277" spans="1:21" s="8" customFormat="1" ht="15.75" thickBot="1" x14ac:dyDescent="0.3">
      <c r="A277" s="58"/>
      <c r="B277" s="58"/>
      <c r="C277" s="58" t="s">
        <v>295</v>
      </c>
      <c r="D277" s="57"/>
      <c r="E277" s="57"/>
      <c r="F277" s="57"/>
      <c r="G277" s="56">
        <f>SUM(G256:G275)</f>
        <v>24111456</v>
      </c>
      <c r="H277" s="56">
        <f>SUM(H256:H262)</f>
        <v>12492236.367000002</v>
      </c>
      <c r="I277" s="56">
        <f t="shared" ref="I277:T277" si="11">SUM(I256:I275)</f>
        <v>0</v>
      </c>
      <c r="J277" s="56">
        <f t="shared" si="11"/>
        <v>0</v>
      </c>
      <c r="K277" s="56">
        <f t="shared" si="11"/>
        <v>10290253.760000002</v>
      </c>
      <c r="L277" s="56">
        <f t="shared" si="11"/>
        <v>0</v>
      </c>
      <c r="M277" s="56">
        <f t="shared" si="11"/>
        <v>0</v>
      </c>
      <c r="N277" s="56">
        <f t="shared" si="11"/>
        <v>0</v>
      </c>
      <c r="O277" s="56">
        <f t="shared" si="11"/>
        <v>25887357</v>
      </c>
      <c r="P277" s="56">
        <f t="shared" si="11"/>
        <v>49302648.890000001</v>
      </c>
      <c r="Q277" s="56"/>
      <c r="R277" s="56">
        <f t="shared" si="11"/>
        <v>16023335.819999997</v>
      </c>
      <c r="S277" s="56"/>
      <c r="T277" s="56">
        <f t="shared" si="11"/>
        <v>0</v>
      </c>
      <c r="U277" s="58"/>
    </row>
    <row r="278" spans="1:21" x14ac:dyDescent="0.25">
      <c r="C278" s="91" t="s">
        <v>5</v>
      </c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62"/>
      <c r="T278" s="7"/>
      <c r="U278" s="6"/>
    </row>
    <row r="279" spans="1:21" x14ac:dyDescent="0.25">
      <c r="C279" s="91" t="s">
        <v>394</v>
      </c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62"/>
      <c r="T279" s="7"/>
      <c r="U279" s="6"/>
    </row>
    <row r="280" spans="1:21" x14ac:dyDescent="0.25">
      <c r="C280" s="8"/>
      <c r="D280" s="61"/>
      <c r="E280" s="61"/>
      <c r="F280" s="61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49"/>
      <c r="T280" s="7"/>
      <c r="U280" s="6"/>
    </row>
    <row r="281" spans="1:21" x14ac:dyDescent="0.25">
      <c r="A281" s="2"/>
      <c r="B281" s="2"/>
      <c r="C281" s="10"/>
      <c r="D281" s="12"/>
      <c r="E281" s="12"/>
      <c r="F281" s="12"/>
      <c r="G281" s="94" t="s">
        <v>7</v>
      </c>
      <c r="H281" s="94"/>
      <c r="I281" s="94"/>
      <c r="J281" s="94"/>
      <c r="K281" s="94"/>
      <c r="L281" s="94"/>
      <c r="M281" s="11"/>
      <c r="N281" s="11"/>
      <c r="O281" s="11"/>
      <c r="P281" s="11"/>
      <c r="Q281" s="11"/>
      <c r="R281" s="48"/>
      <c r="S281" s="11"/>
    </row>
    <row r="282" spans="1:21" x14ac:dyDescent="0.25">
      <c r="A282" s="2"/>
      <c r="B282" s="2"/>
      <c r="C282" s="10" t="s">
        <v>9</v>
      </c>
      <c r="D282" s="12"/>
      <c r="E282" s="12"/>
      <c r="F282" s="12"/>
      <c r="G282" s="11" t="s">
        <v>10</v>
      </c>
      <c r="H282" s="11" t="s">
        <v>11</v>
      </c>
      <c r="I282" s="11" t="s">
        <v>12</v>
      </c>
      <c r="J282" s="11" t="s">
        <v>13</v>
      </c>
      <c r="K282" s="11"/>
      <c r="L282" s="11" t="s">
        <v>14</v>
      </c>
      <c r="M282" s="11" t="s">
        <v>15</v>
      </c>
      <c r="N282" s="11" t="s">
        <v>15</v>
      </c>
      <c r="O282" s="11" t="s">
        <v>16</v>
      </c>
      <c r="P282" s="11" t="s">
        <v>393</v>
      </c>
      <c r="Q282" s="11" t="s">
        <v>15</v>
      </c>
      <c r="R282" s="48" t="s">
        <v>16</v>
      </c>
      <c r="S282" s="48"/>
    </row>
    <row r="283" spans="1:21" x14ac:dyDescent="0.25">
      <c r="A283" s="2"/>
      <c r="B283" s="2"/>
      <c r="C283" s="10"/>
      <c r="D283" s="12"/>
      <c r="E283" s="12"/>
      <c r="F283" s="12"/>
      <c r="G283" s="11" t="s">
        <v>16</v>
      </c>
      <c r="H283" s="11" t="s">
        <v>16</v>
      </c>
      <c r="I283" s="11" t="s">
        <v>17</v>
      </c>
      <c r="J283" s="11"/>
      <c r="K283" s="11"/>
      <c r="L283" s="11"/>
      <c r="M283" s="11"/>
      <c r="N283" s="11"/>
      <c r="O283" s="11"/>
      <c r="P283" s="11"/>
      <c r="Q283" s="11"/>
      <c r="R283" s="48"/>
      <c r="S283" s="48"/>
    </row>
    <row r="284" spans="1:21" x14ac:dyDescent="0.25">
      <c r="A284" s="2"/>
      <c r="B284" s="2"/>
      <c r="C284" s="10" t="s">
        <v>18</v>
      </c>
      <c r="D284" s="12" t="s">
        <v>19</v>
      </c>
      <c r="E284" s="12" t="s">
        <v>20</v>
      </c>
      <c r="F284" s="12" t="s">
        <v>21</v>
      </c>
      <c r="G284" s="11" t="s">
        <v>22</v>
      </c>
      <c r="H284" s="11" t="s">
        <v>22</v>
      </c>
      <c r="I284" s="11"/>
      <c r="J284" s="11" t="s">
        <v>23</v>
      </c>
      <c r="K284" s="11" t="s">
        <v>24</v>
      </c>
      <c r="L284" s="11" t="s">
        <v>25</v>
      </c>
      <c r="M284" s="11" t="s">
        <v>26</v>
      </c>
      <c r="N284" s="11" t="s">
        <v>26</v>
      </c>
      <c r="O284" s="11" t="s">
        <v>27</v>
      </c>
      <c r="P284" s="11" t="s">
        <v>27</v>
      </c>
      <c r="Q284" s="11" t="s">
        <v>26</v>
      </c>
      <c r="R284" s="48" t="s">
        <v>28</v>
      </c>
      <c r="S284" s="48"/>
    </row>
    <row r="285" spans="1:21" x14ac:dyDescent="0.25">
      <c r="A285" s="2"/>
      <c r="B285" s="2"/>
      <c r="C285" s="2"/>
      <c r="D285" s="15"/>
      <c r="E285" s="15"/>
      <c r="F285" s="15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3"/>
      <c r="S285" s="13"/>
    </row>
    <row r="286" spans="1:21" x14ac:dyDescent="0.25">
      <c r="A286" s="2"/>
      <c r="B286" s="2"/>
      <c r="C286" s="10" t="s">
        <v>296</v>
      </c>
      <c r="D286" s="15"/>
      <c r="E286" s="15"/>
      <c r="F286" s="15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3"/>
      <c r="S286" s="13"/>
    </row>
    <row r="287" spans="1:21" x14ac:dyDescent="0.25">
      <c r="A287" s="2"/>
      <c r="B287" s="2"/>
      <c r="C287" s="10"/>
      <c r="D287" s="15"/>
      <c r="E287" s="15"/>
      <c r="F287" s="15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3"/>
      <c r="S287" s="13"/>
    </row>
    <row r="288" spans="1:21" x14ac:dyDescent="0.25">
      <c r="A288" s="2"/>
      <c r="B288" s="2"/>
      <c r="C288" s="10" t="s">
        <v>297</v>
      </c>
      <c r="D288" s="15"/>
      <c r="E288" s="15"/>
      <c r="F288" s="15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3"/>
      <c r="S288" s="13"/>
    </row>
    <row r="289" spans="1:20" x14ac:dyDescent="0.25">
      <c r="A289" s="2"/>
      <c r="B289" s="2"/>
      <c r="C289" s="2"/>
      <c r="D289" s="15"/>
      <c r="E289" s="15"/>
      <c r="F289" s="15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3"/>
      <c r="S289" s="13"/>
    </row>
    <row r="290" spans="1:20" x14ac:dyDescent="0.25">
      <c r="A290" s="2"/>
      <c r="B290" s="2"/>
      <c r="C290" s="10" t="s">
        <v>298</v>
      </c>
      <c r="D290" s="15"/>
      <c r="E290" s="15"/>
      <c r="F290" s="15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3"/>
      <c r="S290" s="13"/>
    </row>
    <row r="291" spans="1:20" x14ac:dyDescent="0.25">
      <c r="A291" s="2"/>
      <c r="B291" s="2"/>
      <c r="C291" s="2"/>
      <c r="D291" s="15"/>
      <c r="E291" s="15"/>
      <c r="F291" s="15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3"/>
      <c r="S291" s="13"/>
    </row>
    <row r="292" spans="1:20" x14ac:dyDescent="0.25">
      <c r="A292" s="2" t="s">
        <v>299</v>
      </c>
      <c r="B292" s="2" t="s">
        <v>97</v>
      </c>
      <c r="C292" s="2" t="s">
        <v>2</v>
      </c>
      <c r="D292" s="15">
        <v>15</v>
      </c>
      <c r="E292" s="15" t="s">
        <v>126</v>
      </c>
      <c r="F292" s="15" t="s">
        <v>238</v>
      </c>
      <c r="G292" s="14">
        <v>4314602.82</v>
      </c>
      <c r="H292" s="14">
        <v>0</v>
      </c>
      <c r="I292" s="14"/>
      <c r="J292" s="14"/>
      <c r="K292" s="14">
        <f>H292</f>
        <v>0</v>
      </c>
      <c r="L292" s="14"/>
      <c r="M292" s="14" t="s">
        <v>67</v>
      </c>
      <c r="N292" s="14"/>
      <c r="O292" s="14">
        <v>7877925</v>
      </c>
      <c r="P292" s="14">
        <v>1000000</v>
      </c>
      <c r="Q292" s="14" t="s">
        <v>67</v>
      </c>
      <c r="R292" s="14">
        <v>7877925</v>
      </c>
      <c r="S292" s="13" t="s">
        <v>67</v>
      </c>
      <c r="T292" s="90"/>
    </row>
    <row r="293" spans="1:20" x14ac:dyDescent="0.25">
      <c r="A293" s="2" t="s">
        <v>300</v>
      </c>
      <c r="B293" s="95" t="s">
        <v>65</v>
      </c>
      <c r="C293" s="2" t="s">
        <v>400</v>
      </c>
      <c r="D293" s="15">
        <v>18</v>
      </c>
      <c r="E293" s="15" t="s">
        <v>247</v>
      </c>
      <c r="F293" s="15" t="s">
        <v>172</v>
      </c>
      <c r="G293" s="14">
        <v>5500000</v>
      </c>
      <c r="H293" s="14">
        <v>7367933.2940999996</v>
      </c>
      <c r="I293" s="14"/>
      <c r="J293" s="14"/>
      <c r="K293" s="14">
        <f t="shared" ref="K293:K305" si="12">H293</f>
        <v>7367933.2940999996</v>
      </c>
      <c r="L293" s="14"/>
      <c r="M293" s="14" t="s">
        <v>67</v>
      </c>
      <c r="N293" s="14"/>
      <c r="O293" s="14"/>
      <c r="P293" s="14">
        <v>5755296.7699999996</v>
      </c>
      <c r="Q293" s="14" t="s">
        <v>67</v>
      </c>
      <c r="R293" s="13"/>
      <c r="S293" s="13"/>
      <c r="T293" s="90"/>
    </row>
    <row r="294" spans="1:20" x14ac:dyDescent="0.25">
      <c r="A294" s="2" t="s">
        <v>301</v>
      </c>
      <c r="B294" s="96"/>
      <c r="C294" s="2" t="s">
        <v>302</v>
      </c>
      <c r="D294" s="15">
        <v>20</v>
      </c>
      <c r="E294" s="15" t="s">
        <v>223</v>
      </c>
      <c r="F294" s="15" t="s">
        <v>224</v>
      </c>
      <c r="G294" s="14">
        <v>5768245</v>
      </c>
      <c r="H294" s="14">
        <v>5768245</v>
      </c>
      <c r="I294" s="14"/>
      <c r="J294" s="14"/>
      <c r="K294" s="14">
        <f t="shared" si="12"/>
        <v>5768245</v>
      </c>
      <c r="L294" s="14"/>
      <c r="M294" s="14" t="s">
        <v>303</v>
      </c>
      <c r="N294" s="14"/>
      <c r="O294" s="14"/>
      <c r="P294" s="14">
        <v>664333.51</v>
      </c>
      <c r="Q294" s="14" t="s">
        <v>303</v>
      </c>
      <c r="R294" s="13"/>
      <c r="S294" s="13"/>
      <c r="T294" s="90"/>
    </row>
    <row r="295" spans="1:20" x14ac:dyDescent="0.25">
      <c r="A295" s="2" t="s">
        <v>304</v>
      </c>
      <c r="B295" s="96"/>
      <c r="C295" s="2" t="s">
        <v>305</v>
      </c>
      <c r="D295" s="15">
        <v>20</v>
      </c>
      <c r="E295" s="15" t="s">
        <v>223</v>
      </c>
      <c r="F295" s="15" t="s">
        <v>224</v>
      </c>
      <c r="G295" s="14">
        <v>20756681</v>
      </c>
      <c r="H295" s="14">
        <v>20756681</v>
      </c>
      <c r="I295" s="14"/>
      <c r="J295" s="14"/>
      <c r="K295" s="14">
        <f t="shared" si="12"/>
        <v>20756681</v>
      </c>
      <c r="L295" s="14"/>
      <c r="M295" s="14" t="s">
        <v>303</v>
      </c>
      <c r="N295" s="14"/>
      <c r="O295" s="14"/>
      <c r="P295" s="14">
        <v>3807036.17</v>
      </c>
      <c r="Q295" s="14" t="s">
        <v>303</v>
      </c>
      <c r="R295" s="13"/>
      <c r="S295" s="13"/>
      <c r="T295" s="90"/>
    </row>
    <row r="296" spans="1:20" x14ac:dyDescent="0.25">
      <c r="A296" s="2" t="s">
        <v>306</v>
      </c>
      <c r="B296" s="96"/>
      <c r="C296" s="2" t="s">
        <v>399</v>
      </c>
      <c r="D296" s="15">
        <v>15</v>
      </c>
      <c r="E296" s="15" t="s">
        <v>126</v>
      </c>
      <c r="F296" s="15" t="s">
        <v>238</v>
      </c>
      <c r="G296" s="14">
        <v>3000000</v>
      </c>
      <c r="H296" s="14">
        <v>4104311.89</v>
      </c>
      <c r="I296" s="14"/>
      <c r="J296" s="14"/>
      <c r="K296" s="14">
        <f t="shared" si="12"/>
        <v>4104311.89</v>
      </c>
      <c r="L296" s="14"/>
      <c r="M296" s="14" t="s">
        <v>303</v>
      </c>
      <c r="N296" s="14"/>
      <c r="O296" s="14">
        <v>12000000</v>
      </c>
      <c r="P296" s="4">
        <f>14760000-1308696</f>
        <v>13451304</v>
      </c>
      <c r="Q296" s="14" t="s">
        <v>303</v>
      </c>
      <c r="R296" s="13"/>
      <c r="S296" s="13"/>
      <c r="T296" s="90"/>
    </row>
    <row r="297" spans="1:20" x14ac:dyDescent="0.25">
      <c r="A297" s="2" t="s">
        <v>308</v>
      </c>
      <c r="B297" s="96"/>
      <c r="C297" s="2" t="s">
        <v>307</v>
      </c>
      <c r="D297" s="15">
        <v>18</v>
      </c>
      <c r="E297" s="15" t="s">
        <v>247</v>
      </c>
      <c r="F297" s="15" t="s">
        <v>172</v>
      </c>
      <c r="G297" s="14">
        <v>21475074</v>
      </c>
      <c r="H297" s="14">
        <v>6100000</v>
      </c>
      <c r="I297" s="14"/>
      <c r="J297" s="14"/>
      <c r="K297" s="14">
        <f t="shared" si="12"/>
        <v>6100000</v>
      </c>
      <c r="L297" s="14"/>
      <c r="M297" s="14" t="s">
        <v>303</v>
      </c>
      <c r="N297" s="14"/>
      <c r="O297" s="14">
        <f>G297-H297</f>
        <v>15375074</v>
      </c>
      <c r="P297" s="14">
        <f>15006601.02+3652321.92</f>
        <v>18658922.939999998</v>
      </c>
      <c r="Q297" s="14" t="s">
        <v>303</v>
      </c>
      <c r="R297" s="13"/>
      <c r="S297" s="13"/>
      <c r="T297" s="90"/>
    </row>
    <row r="298" spans="1:20" x14ac:dyDescent="0.25">
      <c r="A298" s="2" t="s">
        <v>309</v>
      </c>
      <c r="B298" s="96"/>
      <c r="C298" s="2" t="s">
        <v>310</v>
      </c>
      <c r="D298" s="15" t="s">
        <v>311</v>
      </c>
      <c r="E298" s="15" t="s">
        <v>212</v>
      </c>
      <c r="F298" s="15" t="s">
        <v>312</v>
      </c>
      <c r="G298" s="14">
        <v>4000000</v>
      </c>
      <c r="H298" s="14">
        <v>4000000</v>
      </c>
      <c r="I298" s="14"/>
      <c r="J298" s="14"/>
      <c r="K298" s="14">
        <f t="shared" si="12"/>
        <v>4000000</v>
      </c>
      <c r="L298" s="14"/>
      <c r="M298" s="14" t="s">
        <v>303</v>
      </c>
      <c r="N298" s="14"/>
      <c r="O298" s="14"/>
      <c r="P298" s="14">
        <v>3628500.45</v>
      </c>
      <c r="Q298" s="14" t="s">
        <v>303</v>
      </c>
      <c r="R298" s="13"/>
      <c r="S298" s="13"/>
      <c r="T298" s="90"/>
    </row>
    <row r="299" spans="1:20" x14ac:dyDescent="0.25">
      <c r="A299" s="2"/>
      <c r="B299" s="96"/>
      <c r="C299" s="2" t="s">
        <v>398</v>
      </c>
      <c r="D299" s="15">
        <v>23</v>
      </c>
      <c r="E299" s="15" t="s">
        <v>79</v>
      </c>
      <c r="F299" s="15" t="s">
        <v>324</v>
      </c>
      <c r="G299" s="14"/>
      <c r="H299" s="14"/>
      <c r="I299" s="14"/>
      <c r="J299" s="14"/>
      <c r="K299" s="14"/>
      <c r="L299" s="14"/>
      <c r="M299" s="14"/>
      <c r="N299" s="14"/>
      <c r="O299" s="14"/>
      <c r="P299" s="14">
        <v>10000000</v>
      </c>
      <c r="Q299" s="14" t="s">
        <v>395</v>
      </c>
      <c r="R299" s="13"/>
      <c r="S299" s="13"/>
      <c r="T299" s="90"/>
    </row>
    <row r="300" spans="1:20" x14ac:dyDescent="0.25">
      <c r="A300" s="2"/>
      <c r="B300" s="96"/>
      <c r="C300" s="10" t="s">
        <v>209</v>
      </c>
      <c r="D300" s="15"/>
      <c r="E300" s="15"/>
      <c r="F300" s="15"/>
      <c r="G300" s="14"/>
      <c r="H300" s="14"/>
      <c r="I300" s="14"/>
      <c r="J300" s="14"/>
      <c r="K300" s="14">
        <f t="shared" si="12"/>
        <v>0</v>
      </c>
      <c r="L300" s="14"/>
      <c r="M300" s="14"/>
      <c r="N300" s="14"/>
      <c r="O300" s="14"/>
      <c r="P300" s="14"/>
      <c r="Q300" s="14"/>
      <c r="R300" s="13"/>
      <c r="S300" s="13"/>
      <c r="T300" s="90"/>
    </row>
    <row r="301" spans="1:20" x14ac:dyDescent="0.25">
      <c r="A301" s="2" t="s">
        <v>313</v>
      </c>
      <c r="B301" s="96"/>
      <c r="C301" s="2" t="s">
        <v>314</v>
      </c>
      <c r="D301" s="15"/>
      <c r="E301" s="15"/>
      <c r="F301" s="15"/>
      <c r="G301" s="14">
        <v>0</v>
      </c>
      <c r="H301" s="14">
        <v>12003212.210000001</v>
      </c>
      <c r="I301" s="14"/>
      <c r="J301" s="14"/>
      <c r="K301" s="14">
        <f t="shared" si="12"/>
        <v>12003212.210000001</v>
      </c>
      <c r="L301" s="14"/>
      <c r="M301" s="14" t="s">
        <v>303</v>
      </c>
      <c r="N301" s="14"/>
      <c r="O301" s="14"/>
      <c r="P301" s="14"/>
      <c r="Q301" s="14"/>
      <c r="R301" s="13"/>
      <c r="S301" s="13"/>
      <c r="T301" s="90"/>
    </row>
    <row r="302" spans="1:20" x14ac:dyDescent="0.25">
      <c r="A302" s="2"/>
      <c r="B302" s="96"/>
      <c r="C302" s="2" t="s">
        <v>315</v>
      </c>
      <c r="D302" s="15">
        <v>15</v>
      </c>
      <c r="E302" s="15" t="s">
        <v>126</v>
      </c>
      <c r="F302" s="15" t="s">
        <v>238</v>
      </c>
      <c r="G302" s="14">
        <v>0</v>
      </c>
      <c r="H302" s="14">
        <v>2267549.9</v>
      </c>
      <c r="I302" s="14"/>
      <c r="J302" s="14"/>
      <c r="K302" s="14">
        <f t="shared" si="12"/>
        <v>2267549.9</v>
      </c>
      <c r="L302" s="14"/>
      <c r="M302" s="14" t="s">
        <v>303</v>
      </c>
      <c r="N302" s="14"/>
      <c r="O302" s="14"/>
      <c r="P302" s="14"/>
      <c r="Q302" s="14"/>
      <c r="R302" s="13"/>
      <c r="S302" s="13"/>
      <c r="T302" s="90"/>
    </row>
    <row r="303" spans="1:20" x14ac:dyDescent="0.25">
      <c r="A303" s="2" t="s">
        <v>316</v>
      </c>
      <c r="B303" s="96"/>
      <c r="C303" s="2" t="s">
        <v>317</v>
      </c>
      <c r="D303" s="15">
        <v>1</v>
      </c>
      <c r="E303" s="15" t="s">
        <v>318</v>
      </c>
      <c r="F303" s="15"/>
      <c r="G303" s="14">
        <v>0</v>
      </c>
      <c r="H303" s="14">
        <v>6835940.4299999997</v>
      </c>
      <c r="I303" s="14"/>
      <c r="J303" s="14"/>
      <c r="K303" s="14">
        <f t="shared" si="12"/>
        <v>6835940.4299999997</v>
      </c>
      <c r="L303" s="14"/>
      <c r="M303" s="14" t="s">
        <v>67</v>
      </c>
      <c r="N303" s="14"/>
      <c r="O303" s="14"/>
      <c r="P303" s="14"/>
      <c r="Q303" s="14"/>
      <c r="R303" s="13"/>
      <c r="S303" s="13"/>
      <c r="T303" s="90"/>
    </row>
    <row r="304" spans="1:20" x14ac:dyDescent="0.25">
      <c r="A304" s="2" t="s">
        <v>319</v>
      </c>
      <c r="B304" s="96"/>
      <c r="C304" s="2" t="s">
        <v>320</v>
      </c>
      <c r="D304" s="15">
        <v>2</v>
      </c>
      <c r="E304" s="15" t="s">
        <v>321</v>
      </c>
      <c r="F304" s="15" t="s">
        <v>115</v>
      </c>
      <c r="G304" s="14">
        <v>0</v>
      </c>
      <c r="H304" s="14">
        <v>7063943</v>
      </c>
      <c r="I304" s="14"/>
      <c r="J304" s="14"/>
      <c r="K304" s="14">
        <f t="shared" si="12"/>
        <v>7063943</v>
      </c>
      <c r="L304" s="14"/>
      <c r="M304" s="14" t="s">
        <v>67</v>
      </c>
      <c r="N304" s="14"/>
      <c r="O304" s="14"/>
      <c r="P304" s="14"/>
      <c r="Q304" s="14"/>
      <c r="R304" s="13"/>
      <c r="S304" s="13"/>
      <c r="T304" s="90"/>
    </row>
    <row r="305" spans="1:21" x14ac:dyDescent="0.25">
      <c r="A305" s="2" t="s">
        <v>322</v>
      </c>
      <c r="B305" s="96"/>
      <c r="C305" s="2" t="s">
        <v>323</v>
      </c>
      <c r="D305" s="15">
        <v>2</v>
      </c>
      <c r="E305" s="15" t="s">
        <v>321</v>
      </c>
      <c r="F305" s="15" t="s">
        <v>115</v>
      </c>
      <c r="G305" s="14">
        <v>0</v>
      </c>
      <c r="H305" s="14">
        <v>4087652.58</v>
      </c>
      <c r="I305" s="14"/>
      <c r="J305" s="14"/>
      <c r="K305" s="14">
        <f t="shared" si="12"/>
        <v>4087652.58</v>
      </c>
      <c r="L305" s="14"/>
      <c r="M305" s="14" t="s">
        <v>67</v>
      </c>
      <c r="N305" s="14"/>
      <c r="O305" s="14"/>
      <c r="P305" s="14"/>
      <c r="Q305" s="14"/>
      <c r="R305" s="13"/>
      <c r="S305" s="13"/>
      <c r="T305" s="90"/>
    </row>
    <row r="306" spans="1:21" x14ac:dyDescent="0.25">
      <c r="A306" s="2"/>
      <c r="B306" s="96"/>
      <c r="C306" s="2" t="s">
        <v>325</v>
      </c>
      <c r="D306" s="15"/>
      <c r="E306" s="2" t="s">
        <v>326</v>
      </c>
      <c r="F306" s="15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3"/>
      <c r="S306" s="13"/>
      <c r="T306" s="90">
        <v>10000000</v>
      </c>
      <c r="U306" s="2" t="s">
        <v>303</v>
      </c>
    </row>
    <row r="307" spans="1:21" x14ac:dyDescent="0.25">
      <c r="A307" s="2" t="s">
        <v>327</v>
      </c>
      <c r="B307" s="96"/>
      <c r="C307" s="2" t="s">
        <v>3</v>
      </c>
      <c r="D307" s="15">
        <v>10</v>
      </c>
      <c r="E307" s="15" t="s">
        <v>275</v>
      </c>
      <c r="F307" s="15" t="s">
        <v>328</v>
      </c>
      <c r="G307" s="14"/>
      <c r="H307" s="14"/>
      <c r="I307" s="14"/>
      <c r="J307" s="14"/>
      <c r="K307" s="14"/>
      <c r="L307" s="14"/>
      <c r="M307" s="14"/>
      <c r="N307" s="14" t="s">
        <v>67</v>
      </c>
      <c r="O307" s="14">
        <f>7500000-2000000</f>
        <v>5500000</v>
      </c>
      <c r="P307" s="14">
        <f>1000000+6789</f>
        <v>1006789</v>
      </c>
      <c r="Q307" s="14" t="s">
        <v>67</v>
      </c>
      <c r="R307" s="13">
        <f>7500000+2000000+4500000</f>
        <v>14000000</v>
      </c>
      <c r="S307" s="13" t="s">
        <v>67</v>
      </c>
      <c r="T307" s="90"/>
    </row>
    <row r="308" spans="1:21" x14ac:dyDescent="0.25">
      <c r="A308" s="2" t="s">
        <v>329</v>
      </c>
      <c r="B308" s="96"/>
      <c r="C308" s="2" t="s">
        <v>4</v>
      </c>
      <c r="D308" s="15">
        <v>27</v>
      </c>
      <c r="E308" s="15" t="s">
        <v>330</v>
      </c>
      <c r="F308" s="15" t="s">
        <v>331</v>
      </c>
      <c r="G308" s="14"/>
      <c r="H308" s="14"/>
      <c r="I308" s="14"/>
      <c r="J308" s="14"/>
      <c r="K308" s="14"/>
      <c r="L308" s="14"/>
      <c r="M308" s="14"/>
      <c r="N308" s="14" t="s">
        <v>67</v>
      </c>
      <c r="O308" s="14">
        <v>4649383</v>
      </c>
      <c r="P308" s="14">
        <v>1000000</v>
      </c>
      <c r="Q308" s="14" t="s">
        <v>67</v>
      </c>
      <c r="R308" s="13">
        <f>5350617+3649383</f>
        <v>9000000</v>
      </c>
      <c r="S308" s="13" t="s">
        <v>67</v>
      </c>
      <c r="T308" s="90"/>
    </row>
    <row r="309" spans="1:21" x14ac:dyDescent="0.25">
      <c r="A309" s="2" t="s">
        <v>313</v>
      </c>
      <c r="B309" s="96"/>
      <c r="C309" s="2" t="s">
        <v>332</v>
      </c>
      <c r="D309" s="15" t="s">
        <v>311</v>
      </c>
      <c r="E309" s="15" t="s">
        <v>212</v>
      </c>
      <c r="F309" s="15" t="s">
        <v>312</v>
      </c>
      <c r="G309" s="14"/>
      <c r="H309" s="14"/>
      <c r="I309" s="14"/>
      <c r="J309" s="14"/>
      <c r="K309" s="14"/>
      <c r="L309" s="14"/>
      <c r="M309" s="14"/>
      <c r="N309" s="14" t="s">
        <v>67</v>
      </c>
      <c r="O309" s="14">
        <f>10000000-2365579-414363</f>
        <v>7220058</v>
      </c>
      <c r="P309" s="14">
        <v>6582080</v>
      </c>
      <c r="Q309" s="14" t="s">
        <v>67</v>
      </c>
      <c r="R309" s="13">
        <f>15831648+2365579</f>
        <v>18197227</v>
      </c>
      <c r="S309" s="13" t="s">
        <v>67</v>
      </c>
      <c r="T309" s="90"/>
    </row>
    <row r="310" spans="1:21" x14ac:dyDescent="0.25">
      <c r="A310" s="2" t="s">
        <v>333</v>
      </c>
      <c r="B310" s="96"/>
      <c r="C310" s="2" t="s">
        <v>397</v>
      </c>
      <c r="D310" s="15">
        <v>19</v>
      </c>
      <c r="E310" s="15" t="s">
        <v>104</v>
      </c>
      <c r="F310" s="15" t="s">
        <v>334</v>
      </c>
      <c r="G310" s="14"/>
      <c r="H310" s="14"/>
      <c r="I310" s="14"/>
      <c r="J310" s="14"/>
      <c r="K310" s="14"/>
      <c r="L310" s="14"/>
      <c r="M310" s="14"/>
      <c r="N310" s="14" t="s">
        <v>303</v>
      </c>
      <c r="O310" s="14">
        <v>6000000</v>
      </c>
      <c r="P310" s="14">
        <v>6000000</v>
      </c>
      <c r="Q310" s="14" t="s">
        <v>303</v>
      </c>
      <c r="R310" s="13">
        <v>12000000</v>
      </c>
      <c r="S310" s="13" t="s">
        <v>303</v>
      </c>
      <c r="T310" s="90"/>
    </row>
    <row r="311" spans="1:21" x14ac:dyDescent="0.25">
      <c r="A311" s="2"/>
      <c r="B311" s="96"/>
      <c r="C311" s="2" t="s">
        <v>396</v>
      </c>
      <c r="D311" s="15">
        <v>19</v>
      </c>
      <c r="E311" s="15" t="s">
        <v>104</v>
      </c>
      <c r="F311" s="15" t="s">
        <v>334</v>
      </c>
      <c r="G311" s="14"/>
      <c r="H311" s="14"/>
      <c r="I311" s="14"/>
      <c r="J311" s="14"/>
      <c r="K311" s="14"/>
      <c r="L311" s="14"/>
      <c r="M311" s="14"/>
      <c r="N311" s="14"/>
      <c r="O311" s="14"/>
      <c r="P311" s="14">
        <v>15000000</v>
      </c>
      <c r="Q311" s="14" t="s">
        <v>395</v>
      </c>
      <c r="R311" s="13"/>
      <c r="S311" s="13"/>
      <c r="T311" s="90"/>
    </row>
    <row r="312" spans="1:21" x14ac:dyDescent="0.25">
      <c r="A312" s="2" t="s">
        <v>335</v>
      </c>
      <c r="B312" s="96"/>
      <c r="C312" s="2" t="s">
        <v>336</v>
      </c>
      <c r="D312" s="15">
        <v>18</v>
      </c>
      <c r="E312" s="15" t="s">
        <v>337</v>
      </c>
      <c r="F312" s="15" t="s">
        <v>338</v>
      </c>
      <c r="G312" s="14"/>
      <c r="H312" s="14"/>
      <c r="I312" s="14"/>
      <c r="J312" s="14"/>
      <c r="K312" s="14"/>
      <c r="L312" s="14"/>
      <c r="M312" s="14"/>
      <c r="N312" s="14" t="s">
        <v>303</v>
      </c>
      <c r="O312" s="14">
        <f>8000000-R312</f>
        <v>1120000</v>
      </c>
      <c r="P312" s="14">
        <v>1120000</v>
      </c>
      <c r="Q312" s="14" t="s">
        <v>303</v>
      </c>
      <c r="R312" s="14">
        <f>8000000-(8000000*14%)</f>
        <v>6880000</v>
      </c>
      <c r="S312" s="13" t="s">
        <v>303</v>
      </c>
      <c r="T312" s="90"/>
    </row>
    <row r="313" spans="1:21" x14ac:dyDescent="0.25">
      <c r="A313" s="2" t="s">
        <v>339</v>
      </c>
      <c r="B313" s="96"/>
      <c r="C313" s="2" t="s">
        <v>340</v>
      </c>
      <c r="D313" s="15">
        <v>2</v>
      </c>
      <c r="E313" s="15" t="s">
        <v>163</v>
      </c>
      <c r="F313" s="15" t="s">
        <v>341</v>
      </c>
      <c r="G313" s="14"/>
      <c r="H313" s="14"/>
      <c r="I313" s="14"/>
      <c r="J313" s="14"/>
      <c r="K313" s="14"/>
      <c r="L313" s="14"/>
      <c r="M313" s="14"/>
      <c r="N313" s="14" t="s">
        <v>303</v>
      </c>
      <c r="O313" s="14">
        <v>6244926</v>
      </c>
      <c r="P313" s="14">
        <v>7515415.7599999998</v>
      </c>
      <c r="Q313" s="14" t="s">
        <v>303</v>
      </c>
      <c r="R313" s="14">
        <v>755074</v>
      </c>
      <c r="S313" s="13" t="s">
        <v>303</v>
      </c>
      <c r="T313" s="90"/>
    </row>
    <row r="314" spans="1:21" x14ac:dyDescent="0.25">
      <c r="A314" s="2" t="s">
        <v>342</v>
      </c>
      <c r="B314" s="96"/>
      <c r="C314" s="2" t="s">
        <v>343</v>
      </c>
      <c r="D314" s="15">
        <v>1</v>
      </c>
      <c r="E314" s="15" t="s">
        <v>344</v>
      </c>
      <c r="F314" s="15" t="s">
        <v>345</v>
      </c>
      <c r="G314" s="14"/>
      <c r="H314" s="14"/>
      <c r="I314" s="14"/>
      <c r="J314" s="14"/>
      <c r="K314" s="14"/>
      <c r="L314" s="14"/>
      <c r="M314" s="14"/>
      <c r="N314" s="14" t="s">
        <v>303</v>
      </c>
      <c r="O314" s="14">
        <f>9000000-R314</f>
        <v>1260000</v>
      </c>
      <c r="P314" s="14">
        <v>1260000</v>
      </c>
      <c r="Q314" s="14" t="s">
        <v>303</v>
      </c>
      <c r="R314" s="14">
        <f>9000000-(9000000*14%)</f>
        <v>7740000</v>
      </c>
      <c r="S314" s="13" t="s">
        <v>303</v>
      </c>
      <c r="T314" s="90"/>
    </row>
    <row r="315" spans="1:21" x14ac:dyDescent="0.25">
      <c r="A315" s="2" t="s">
        <v>346</v>
      </c>
      <c r="B315" s="96"/>
      <c r="C315" s="2" t="s">
        <v>347</v>
      </c>
      <c r="D315" s="15">
        <v>32</v>
      </c>
      <c r="E315" s="15" t="s">
        <v>348</v>
      </c>
      <c r="F315" s="15" t="s">
        <v>349</v>
      </c>
      <c r="G315" s="14"/>
      <c r="H315" s="14"/>
      <c r="I315" s="14"/>
      <c r="J315" s="14"/>
      <c r="K315" s="14"/>
      <c r="L315" s="14"/>
      <c r="M315" s="14"/>
      <c r="N315" s="14" t="s">
        <v>303</v>
      </c>
      <c r="O315" s="14">
        <v>8000000</v>
      </c>
      <c r="P315" s="14">
        <f>8000000</f>
        <v>8000000</v>
      </c>
      <c r="Q315" s="14" t="s">
        <v>303</v>
      </c>
      <c r="R315" s="13"/>
      <c r="S315" s="13"/>
      <c r="T315" s="90"/>
    </row>
    <row r="316" spans="1:21" x14ac:dyDescent="0.25">
      <c r="A316" s="2" t="s">
        <v>350</v>
      </c>
      <c r="B316" s="96"/>
      <c r="C316" s="2" t="s">
        <v>351</v>
      </c>
      <c r="D316" s="15" t="s">
        <v>287</v>
      </c>
      <c r="E316" s="15" t="s">
        <v>81</v>
      </c>
      <c r="F316" s="15" t="s">
        <v>352</v>
      </c>
      <c r="G316" s="14"/>
      <c r="H316" s="14"/>
      <c r="I316" s="14"/>
      <c r="J316" s="14"/>
      <c r="K316" s="14"/>
      <c r="L316" s="14"/>
      <c r="M316" s="14"/>
      <c r="N316" s="14" t="s">
        <v>303</v>
      </c>
      <c r="O316" s="14">
        <v>4025000</v>
      </c>
      <c r="P316" s="14">
        <v>4809249.57</v>
      </c>
      <c r="Q316" s="14" t="s">
        <v>303</v>
      </c>
      <c r="R316" s="13"/>
      <c r="S316" s="13"/>
      <c r="T316" s="90"/>
    </row>
    <row r="317" spans="1:21" x14ac:dyDescent="0.25">
      <c r="A317" s="2" t="s">
        <v>353</v>
      </c>
      <c r="B317" s="96"/>
      <c r="C317" s="2" t="s">
        <v>354</v>
      </c>
      <c r="D317" s="15">
        <v>26</v>
      </c>
      <c r="E317" s="15" t="s">
        <v>355</v>
      </c>
      <c r="F317" s="15" t="s">
        <v>356</v>
      </c>
      <c r="G317" s="14"/>
      <c r="H317" s="14"/>
      <c r="I317" s="14"/>
      <c r="J317" s="14"/>
      <c r="K317" s="14"/>
      <c r="L317" s="14"/>
      <c r="M317" s="14"/>
      <c r="N317" s="14" t="s">
        <v>303</v>
      </c>
      <c r="O317" s="14">
        <v>4000000</v>
      </c>
      <c r="P317" s="14">
        <v>4000000</v>
      </c>
      <c r="Q317" s="14" t="s">
        <v>303</v>
      </c>
      <c r="R317" s="13"/>
      <c r="S317" s="13"/>
      <c r="T317" s="90"/>
    </row>
    <row r="318" spans="1:21" x14ac:dyDescent="0.25">
      <c r="A318" s="2" t="s">
        <v>357</v>
      </c>
      <c r="B318" s="96"/>
      <c r="C318" s="2" t="s">
        <v>358</v>
      </c>
      <c r="D318" s="15">
        <v>31</v>
      </c>
      <c r="E318" s="15" t="s">
        <v>280</v>
      </c>
      <c r="F318" s="15" t="s">
        <v>281</v>
      </c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3">
        <v>0</v>
      </c>
      <c r="S318" s="13"/>
      <c r="T318" s="90">
        <v>15000000</v>
      </c>
      <c r="U318" s="2" t="s">
        <v>67</v>
      </c>
    </row>
    <row r="319" spans="1:21" x14ac:dyDescent="0.25">
      <c r="A319" s="59" t="s">
        <v>319</v>
      </c>
      <c r="B319" s="96"/>
      <c r="C319" s="2" t="s">
        <v>359</v>
      </c>
      <c r="D319" s="15">
        <v>22</v>
      </c>
      <c r="E319" s="15" t="s">
        <v>360</v>
      </c>
      <c r="F319" s="15" t="s">
        <v>361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3">
        <v>0</v>
      </c>
      <c r="S319" s="13"/>
      <c r="T319" s="90">
        <v>16125000</v>
      </c>
      <c r="U319" s="2" t="s">
        <v>67</v>
      </c>
    </row>
    <row r="320" spans="1:21" x14ac:dyDescent="0.25">
      <c r="A320" s="2" t="s">
        <v>362</v>
      </c>
      <c r="B320" s="96"/>
      <c r="C320" s="2" t="s">
        <v>363</v>
      </c>
      <c r="D320" s="15">
        <v>17</v>
      </c>
      <c r="E320" s="15" t="s">
        <v>126</v>
      </c>
      <c r="F320" s="15" t="s">
        <v>238</v>
      </c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 t="s">
        <v>303</v>
      </c>
      <c r="R320" s="13">
        <f>8000000-375074</f>
        <v>7624926</v>
      </c>
      <c r="S320" s="13" t="s">
        <v>303</v>
      </c>
      <c r="T320" s="90">
        <v>375074</v>
      </c>
      <c r="U320" s="2" t="s">
        <v>303</v>
      </c>
    </row>
    <row r="321" spans="1:21" x14ac:dyDescent="0.25">
      <c r="A321" s="2" t="s">
        <v>364</v>
      </c>
      <c r="B321" s="96"/>
      <c r="C321" s="2" t="s">
        <v>365</v>
      </c>
      <c r="D321" s="15" t="s">
        <v>293</v>
      </c>
      <c r="E321" s="15" t="s">
        <v>366</v>
      </c>
      <c r="F321" s="15" t="s">
        <v>367</v>
      </c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 t="s">
        <v>303</v>
      </c>
      <c r="R321" s="13">
        <v>10000000</v>
      </c>
      <c r="S321" s="13" t="s">
        <v>303</v>
      </c>
      <c r="T321" s="90">
        <v>10000000</v>
      </c>
      <c r="U321" s="2" t="s">
        <v>303</v>
      </c>
    </row>
    <row r="322" spans="1:21" x14ac:dyDescent="0.25">
      <c r="A322" s="2" t="s">
        <v>368</v>
      </c>
      <c r="B322" s="96"/>
      <c r="C322" s="2" t="s">
        <v>369</v>
      </c>
      <c r="D322" s="15">
        <v>30</v>
      </c>
      <c r="E322" s="15" t="s">
        <v>370</v>
      </c>
      <c r="F322" s="15" t="s">
        <v>371</v>
      </c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 t="s">
        <v>303</v>
      </c>
      <c r="R322" s="13">
        <f>17000000-7000000</f>
        <v>10000000</v>
      </c>
      <c r="S322" s="13" t="s">
        <v>303</v>
      </c>
      <c r="T322" s="90">
        <v>7000000</v>
      </c>
      <c r="U322" s="2" t="s">
        <v>303</v>
      </c>
    </row>
    <row r="323" spans="1:21" x14ac:dyDescent="0.25">
      <c r="A323" s="2" t="s">
        <v>353</v>
      </c>
      <c r="B323" s="97"/>
      <c r="C323" s="2" t="s">
        <v>372</v>
      </c>
      <c r="D323" s="15">
        <v>26</v>
      </c>
      <c r="E323" s="15" t="s">
        <v>355</v>
      </c>
      <c r="F323" s="15" t="s">
        <v>356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 t="s">
        <v>303</v>
      </c>
      <c r="R323" s="13">
        <v>6216000</v>
      </c>
      <c r="S323" s="13" t="s">
        <v>303</v>
      </c>
      <c r="T323" s="90">
        <v>10000000</v>
      </c>
      <c r="U323" s="2" t="s">
        <v>303</v>
      </c>
    </row>
    <row r="324" spans="1:21" x14ac:dyDescent="0.25">
      <c r="A324" s="2"/>
      <c r="B324" s="2"/>
      <c r="C324" s="2" t="s">
        <v>373</v>
      </c>
      <c r="D324" s="15"/>
      <c r="E324" s="15" t="s">
        <v>374</v>
      </c>
      <c r="F324" s="15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3"/>
      <c r="S324" s="13" t="s">
        <v>303</v>
      </c>
      <c r="T324" s="90">
        <v>26778926</v>
      </c>
      <c r="U324" s="2" t="s">
        <v>303</v>
      </c>
    </row>
    <row r="325" spans="1:21" x14ac:dyDescent="0.25">
      <c r="A325" s="2"/>
      <c r="B325" s="2"/>
      <c r="C325" s="2" t="s">
        <v>375</v>
      </c>
      <c r="D325" s="15">
        <v>26</v>
      </c>
      <c r="E325" s="15" t="s">
        <v>355</v>
      </c>
      <c r="F325" s="15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3"/>
      <c r="S325" s="13"/>
      <c r="T325" s="90">
        <v>8000000</v>
      </c>
      <c r="U325" s="2" t="s">
        <v>67</v>
      </c>
    </row>
    <row r="326" spans="1:21" x14ac:dyDescent="0.25">
      <c r="A326" s="2"/>
      <c r="B326" s="2"/>
      <c r="C326" s="2" t="s">
        <v>376</v>
      </c>
      <c r="D326" s="15">
        <v>10</v>
      </c>
      <c r="E326" s="15" t="s">
        <v>275</v>
      </c>
      <c r="F326" s="15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3"/>
      <c r="S326" s="13"/>
      <c r="T326" s="90">
        <v>10000000</v>
      </c>
      <c r="U326" s="2" t="s">
        <v>67</v>
      </c>
    </row>
    <row r="327" spans="1:21" x14ac:dyDescent="0.25">
      <c r="A327" s="2"/>
      <c r="B327" s="2"/>
      <c r="C327" s="2" t="s">
        <v>377</v>
      </c>
      <c r="D327" s="15">
        <v>31</v>
      </c>
      <c r="E327" s="15" t="s">
        <v>366</v>
      </c>
      <c r="F327" s="15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3"/>
      <c r="S327" s="13"/>
      <c r="T327" s="90">
        <v>10000000</v>
      </c>
      <c r="U327" s="2" t="s">
        <v>67</v>
      </c>
    </row>
    <row r="328" spans="1:21" x14ac:dyDescent="0.25">
      <c r="A328" s="2"/>
      <c r="B328" s="2"/>
      <c r="C328" s="2" t="s">
        <v>378</v>
      </c>
      <c r="D328" s="15">
        <v>1</v>
      </c>
      <c r="E328" s="15" t="s">
        <v>180</v>
      </c>
      <c r="F328" s="15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3"/>
      <c r="S328" s="13"/>
      <c r="T328" s="90">
        <v>18000000</v>
      </c>
      <c r="U328" s="2" t="s">
        <v>67</v>
      </c>
    </row>
    <row r="329" spans="1:21" x14ac:dyDescent="0.25">
      <c r="A329" s="2"/>
      <c r="B329" s="2"/>
      <c r="C329" s="2" t="s">
        <v>379</v>
      </c>
      <c r="D329" s="15" t="s">
        <v>380</v>
      </c>
      <c r="E329" s="15" t="s">
        <v>326</v>
      </c>
      <c r="F329" s="15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3"/>
      <c r="S329" s="13"/>
      <c r="T329" s="90">
        <f>21641920-1125000</f>
        <v>20516920</v>
      </c>
      <c r="U329" s="2" t="s">
        <v>67</v>
      </c>
    </row>
    <row r="330" spans="1:21" x14ac:dyDescent="0.25">
      <c r="A330" s="2"/>
      <c r="B330" s="2"/>
      <c r="C330" s="2"/>
      <c r="D330" s="15"/>
      <c r="E330" s="15"/>
      <c r="F330" s="15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3"/>
      <c r="S330" s="13"/>
      <c r="T330" s="90"/>
    </row>
    <row r="331" spans="1:21" s="8" customFormat="1" ht="15.75" thickBot="1" x14ac:dyDescent="0.3">
      <c r="A331" s="10"/>
      <c r="B331" s="10"/>
      <c r="C331" s="58" t="s">
        <v>381</v>
      </c>
      <c r="D331" s="57"/>
      <c r="E331" s="57"/>
      <c r="F331" s="57"/>
      <c r="G331" s="56">
        <f>SUM(G292:G330)</f>
        <v>64814602.82</v>
      </c>
      <c r="H331" s="56">
        <f>SUM(H292:H330)</f>
        <v>80355469.304099992</v>
      </c>
      <c r="I331" s="56">
        <v>0</v>
      </c>
      <c r="J331" s="56">
        <v>0</v>
      </c>
      <c r="K331" s="56">
        <f>SUM(K292:K330)</f>
        <v>80355469.304099992</v>
      </c>
      <c r="L331" s="56">
        <v>0</v>
      </c>
      <c r="M331" s="56"/>
      <c r="N331" s="56"/>
      <c r="O331" s="56">
        <f t="shared" ref="O331:T331" si="13">SUM(O286:O329)</f>
        <v>83272366</v>
      </c>
      <c r="P331" s="56">
        <f t="shared" si="13"/>
        <v>113258928.17000002</v>
      </c>
      <c r="Q331" s="56">
        <f t="shared" si="13"/>
        <v>0</v>
      </c>
      <c r="R331" s="56">
        <f t="shared" si="13"/>
        <v>110291152</v>
      </c>
      <c r="S331" s="56">
        <f t="shared" si="13"/>
        <v>0</v>
      </c>
      <c r="T331" s="56">
        <f t="shared" si="13"/>
        <v>161795920</v>
      </c>
      <c r="U331" s="10"/>
    </row>
    <row r="332" spans="1:21" x14ac:dyDescent="0.25">
      <c r="A332" s="2"/>
      <c r="B332" s="16"/>
      <c r="C332" s="55"/>
      <c r="D332" s="20"/>
      <c r="E332" s="20"/>
      <c r="F332" s="20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8"/>
      <c r="S332" s="18"/>
    </row>
    <row r="333" spans="1:21" x14ac:dyDescent="0.25">
      <c r="A333" s="2"/>
      <c r="B333" s="2"/>
      <c r="C333" s="10" t="s">
        <v>382</v>
      </c>
      <c r="D333" s="12"/>
      <c r="E333" s="12"/>
      <c r="F333" s="12"/>
      <c r="G333" s="11">
        <f>I333+J333+K333</f>
        <v>169447013.29009998</v>
      </c>
      <c r="H333" s="11"/>
      <c r="I333" s="11">
        <v>0</v>
      </c>
      <c r="J333" s="11">
        <v>0</v>
      </c>
      <c r="K333" s="11">
        <f>K331+K277+K250+K219</f>
        <v>169447013.29009998</v>
      </c>
      <c r="L333" s="11">
        <v>0</v>
      </c>
      <c r="M333" s="11"/>
      <c r="N333" s="11"/>
      <c r="O333" s="11">
        <f t="shared" ref="O333:T333" si="14">SUM(O219+O250+O277+O331)</f>
        <v>182407245.86000001</v>
      </c>
      <c r="P333" s="11">
        <f t="shared" si="14"/>
        <v>250611426.27650002</v>
      </c>
      <c r="Q333" s="11">
        <f t="shared" si="14"/>
        <v>0</v>
      </c>
      <c r="R333" s="11">
        <f t="shared" si="14"/>
        <v>198871858.81999999</v>
      </c>
      <c r="S333" s="11">
        <f t="shared" si="14"/>
        <v>0</v>
      </c>
      <c r="T333" s="11">
        <f t="shared" si="14"/>
        <v>211475919</v>
      </c>
    </row>
    <row r="334" spans="1:21" x14ac:dyDescent="0.25">
      <c r="A334" s="6"/>
      <c r="B334" s="6"/>
      <c r="C334" s="51"/>
      <c r="D334" s="50"/>
      <c r="E334" s="50"/>
      <c r="F334" s="50"/>
      <c r="G334" s="49"/>
      <c r="H334" s="49"/>
      <c r="I334" s="49"/>
      <c r="J334" s="49"/>
      <c r="K334" s="49"/>
      <c r="L334" s="49"/>
      <c r="M334" s="49"/>
      <c r="N334" s="49"/>
      <c r="O334" s="49"/>
      <c r="P334" s="49">
        <f>SUM(P77+P100+P144+P219+P250+P277+P331+P111)</f>
        <v>269684994.77650005</v>
      </c>
      <c r="Q334" s="49"/>
      <c r="R334" s="49">
        <f>SUM(R77+R100+R144+R219+R250+R277+R331+R111+R152)</f>
        <v>227925366.13999999</v>
      </c>
      <c r="S334" s="49">
        <f>SUM(S77+S100+S144+S219+S250+S277+S331+S111+S152)</f>
        <v>0</v>
      </c>
      <c r="T334" s="49">
        <f>SUM(T77+T100+T144+T219+T250+T277+T331+T111+T152)</f>
        <v>231475919</v>
      </c>
      <c r="U334" s="6"/>
    </row>
    <row r="335" spans="1:21" s="6" customFormat="1" x14ac:dyDescent="0.25">
      <c r="D335" s="54"/>
      <c r="E335" s="54"/>
      <c r="F335" s="54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7"/>
    </row>
    <row r="336" spans="1:21" s="6" customFormat="1" x14ac:dyDescent="0.25">
      <c r="C336" s="98" t="s">
        <v>5</v>
      </c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52"/>
      <c r="T336" s="7"/>
    </row>
    <row r="337" spans="3:23" s="6" customFormat="1" x14ac:dyDescent="0.25"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52"/>
      <c r="T337" s="7"/>
    </row>
    <row r="338" spans="3:23" s="6" customFormat="1" x14ac:dyDescent="0.25">
      <c r="C338" s="51"/>
      <c r="D338" s="50"/>
      <c r="E338" s="50"/>
      <c r="F338" s="50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7"/>
    </row>
    <row r="339" spans="3:23" x14ac:dyDescent="0.25">
      <c r="C339" s="10"/>
      <c r="D339" s="12"/>
      <c r="E339" s="12"/>
      <c r="F339" s="12"/>
      <c r="G339" s="94" t="s">
        <v>7</v>
      </c>
      <c r="H339" s="94"/>
      <c r="I339" s="94"/>
      <c r="J339" s="94"/>
      <c r="K339" s="94"/>
      <c r="L339" s="94"/>
      <c r="M339" s="11"/>
      <c r="N339" s="11"/>
      <c r="O339" s="11"/>
      <c r="P339" s="11"/>
      <c r="Q339" s="11"/>
      <c r="R339" s="11"/>
      <c r="S339" s="11"/>
    </row>
    <row r="340" spans="3:23" x14ac:dyDescent="0.25">
      <c r="C340" s="10" t="s">
        <v>9</v>
      </c>
      <c r="D340" s="12"/>
      <c r="E340" s="12"/>
      <c r="F340" s="12"/>
      <c r="G340" s="11" t="s">
        <v>10</v>
      </c>
      <c r="H340" s="11" t="s">
        <v>11</v>
      </c>
      <c r="I340" s="11" t="s">
        <v>12</v>
      </c>
      <c r="J340" s="11" t="s">
        <v>13</v>
      </c>
      <c r="K340" s="11"/>
      <c r="L340" s="11" t="s">
        <v>14</v>
      </c>
      <c r="M340" s="11" t="s">
        <v>15</v>
      </c>
      <c r="N340" s="11" t="s">
        <v>15</v>
      </c>
      <c r="O340" s="11" t="s">
        <v>16</v>
      </c>
      <c r="P340" s="11" t="s">
        <v>393</v>
      </c>
      <c r="Q340" s="11" t="s">
        <v>15</v>
      </c>
      <c r="R340" s="48" t="s">
        <v>16</v>
      </c>
      <c r="S340" s="48"/>
    </row>
    <row r="341" spans="3:23" x14ac:dyDescent="0.25">
      <c r="C341" s="10"/>
      <c r="D341" s="12"/>
      <c r="E341" s="12"/>
      <c r="F341" s="12"/>
      <c r="G341" s="11" t="s">
        <v>16</v>
      </c>
      <c r="H341" s="11" t="s">
        <v>16</v>
      </c>
      <c r="I341" s="11" t="s">
        <v>17</v>
      </c>
      <c r="J341" s="11"/>
      <c r="K341" s="11"/>
      <c r="L341" s="11"/>
      <c r="M341" s="11"/>
      <c r="N341" s="11"/>
      <c r="O341" s="11"/>
      <c r="P341" s="11"/>
      <c r="Q341" s="11"/>
      <c r="R341" s="48"/>
      <c r="S341" s="48"/>
    </row>
    <row r="342" spans="3:23" x14ac:dyDescent="0.25">
      <c r="C342" s="10" t="s">
        <v>18</v>
      </c>
      <c r="D342" s="12" t="s">
        <v>19</v>
      </c>
      <c r="E342" s="12" t="s">
        <v>20</v>
      </c>
      <c r="F342" s="12" t="s">
        <v>21</v>
      </c>
      <c r="G342" s="11" t="s">
        <v>22</v>
      </c>
      <c r="H342" s="11" t="s">
        <v>22</v>
      </c>
      <c r="I342" s="11"/>
      <c r="J342" s="11" t="s">
        <v>23</v>
      </c>
      <c r="K342" s="11" t="s">
        <v>24</v>
      </c>
      <c r="L342" s="11" t="s">
        <v>25</v>
      </c>
      <c r="M342" s="11" t="s">
        <v>26</v>
      </c>
      <c r="N342" s="11" t="s">
        <v>26</v>
      </c>
      <c r="O342" s="11" t="s">
        <v>27</v>
      </c>
      <c r="P342" s="11" t="s">
        <v>27</v>
      </c>
      <c r="Q342" s="11" t="s">
        <v>26</v>
      </c>
      <c r="R342" s="48" t="s">
        <v>28</v>
      </c>
      <c r="S342" s="48"/>
    </row>
    <row r="343" spans="3:23" x14ac:dyDescent="0.25">
      <c r="C343" s="2"/>
      <c r="D343" s="15"/>
      <c r="E343" s="15"/>
      <c r="F343" s="15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3"/>
      <c r="S343" s="13"/>
    </row>
    <row r="344" spans="3:23" x14ac:dyDescent="0.25">
      <c r="C344" s="10" t="s">
        <v>383</v>
      </c>
      <c r="D344" s="15"/>
      <c r="E344" s="15"/>
      <c r="F344" s="15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3"/>
      <c r="S344" s="13"/>
    </row>
    <row r="345" spans="3:23" x14ac:dyDescent="0.25">
      <c r="C345" s="10"/>
      <c r="D345" s="15"/>
      <c r="E345" s="15"/>
      <c r="F345" s="15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3"/>
      <c r="S345" s="13"/>
    </row>
    <row r="346" spans="3:23" x14ac:dyDescent="0.25">
      <c r="C346" s="10" t="s">
        <v>384</v>
      </c>
      <c r="D346" s="15"/>
      <c r="E346" s="15"/>
      <c r="F346" s="15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3"/>
      <c r="S346" s="13"/>
    </row>
    <row r="347" spans="3:23" x14ac:dyDescent="0.25">
      <c r="C347" s="2"/>
      <c r="D347" s="15"/>
      <c r="E347" s="15"/>
      <c r="F347" s="15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3"/>
      <c r="S347" s="13"/>
    </row>
    <row r="348" spans="3:23" x14ac:dyDescent="0.25">
      <c r="C348" s="2" t="s">
        <v>0</v>
      </c>
      <c r="D348" s="15"/>
      <c r="E348" s="15"/>
      <c r="F348" s="15"/>
      <c r="G348" s="14">
        <v>144524362.53999999</v>
      </c>
      <c r="H348" s="14" t="e">
        <f>#REF!+H305+H304+H303+H293+H262+H260+H259+H257+H256+H240+H239+H238+H235+H234+H233+H232+H219+H108+H107+H106+H105+H104+H96+H241</f>
        <v>#REF!</v>
      </c>
      <c r="I348" s="14"/>
      <c r="J348" s="14"/>
      <c r="K348" s="14" t="e">
        <f>H348</f>
        <v>#REF!</v>
      </c>
      <c r="L348" s="14"/>
      <c r="M348" s="14"/>
      <c r="N348" s="14"/>
      <c r="O348" s="47">
        <v>144470233</v>
      </c>
      <c r="P348" s="46">
        <v>170770233</v>
      </c>
      <c r="Q348" s="14"/>
      <c r="R348" s="13">
        <f>R309+R308+R307+R292+R277+R250+R219+R152+R111+R142+R143</f>
        <v>166709366.13999999</v>
      </c>
      <c r="S348" s="13"/>
      <c r="T348" s="3">
        <v>167321919</v>
      </c>
      <c r="W348" s="45"/>
    </row>
    <row r="349" spans="3:23" x14ac:dyDescent="0.25">
      <c r="C349" s="2" t="s">
        <v>385</v>
      </c>
      <c r="D349" s="15"/>
      <c r="E349" s="15"/>
      <c r="F349" s="15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3"/>
      <c r="S349" s="13"/>
    </row>
    <row r="350" spans="3:23" x14ac:dyDescent="0.25">
      <c r="C350" s="2" t="s">
        <v>392</v>
      </c>
      <c r="D350" s="15"/>
      <c r="E350" s="15"/>
      <c r="F350" s="44"/>
      <c r="G350" s="14">
        <f>K350</f>
        <v>55000000</v>
      </c>
      <c r="H350" s="14">
        <f>H301+H298+H297+H296+H295+H294+H302</f>
        <v>55000000</v>
      </c>
      <c r="I350" s="14"/>
      <c r="J350" s="14"/>
      <c r="K350" s="14">
        <f t="shared" ref="K350:K351" si="15">H350</f>
        <v>55000000</v>
      </c>
      <c r="L350" s="14"/>
      <c r="M350" s="14"/>
      <c r="N350" s="14"/>
      <c r="O350" s="14">
        <v>58025000</v>
      </c>
      <c r="P350" s="14">
        <f>SUM(P294:P298,P310,P312:P317)</f>
        <v>72914762.400000006</v>
      </c>
      <c r="Q350" s="14"/>
      <c r="R350" s="13">
        <f>SUM(R310+R312+R313+R314+R320+R321+R322+R323)</f>
        <v>61216000</v>
      </c>
      <c r="S350" s="13"/>
      <c r="T350" s="3">
        <f>SUM(T306+T320+T321+T322+T323+T324)</f>
        <v>64154000</v>
      </c>
    </row>
    <row r="351" spans="3:23" x14ac:dyDescent="0.25">
      <c r="C351" s="2" t="s">
        <v>386</v>
      </c>
      <c r="D351" s="15"/>
      <c r="E351" s="15"/>
      <c r="F351" s="44"/>
      <c r="G351" s="14">
        <v>0</v>
      </c>
      <c r="H351" s="14">
        <f>H97</f>
        <v>4996000</v>
      </c>
      <c r="I351" s="14"/>
      <c r="J351" s="14"/>
      <c r="K351" s="14">
        <f t="shared" si="15"/>
        <v>4996000</v>
      </c>
      <c r="L351" s="14"/>
      <c r="M351" s="14"/>
      <c r="N351" s="14"/>
      <c r="O351" s="14"/>
      <c r="P351" s="14"/>
      <c r="Q351" s="14"/>
      <c r="R351" s="13"/>
      <c r="S351" s="13"/>
    </row>
    <row r="352" spans="3:23" x14ac:dyDescent="0.25">
      <c r="C352" s="39" t="s">
        <v>391</v>
      </c>
      <c r="D352" s="43"/>
      <c r="E352" s="43"/>
      <c r="F352" s="43"/>
      <c r="G352" s="42"/>
      <c r="H352" s="42"/>
      <c r="I352" s="42"/>
      <c r="J352" s="42"/>
      <c r="K352" s="42"/>
      <c r="L352" s="42"/>
      <c r="M352" s="42"/>
      <c r="N352" s="42"/>
      <c r="O352" s="42">
        <v>0</v>
      </c>
      <c r="P352" s="42">
        <f>P311+P299</f>
        <v>25000000</v>
      </c>
      <c r="Q352" s="42"/>
      <c r="R352" s="41"/>
      <c r="S352" s="41"/>
      <c r="T352" s="40"/>
      <c r="U352" s="39"/>
    </row>
    <row r="353" spans="3:23" s="8" customFormat="1" ht="15.75" thickBot="1" x14ac:dyDescent="0.3">
      <c r="C353" s="38" t="s">
        <v>387</v>
      </c>
      <c r="D353" s="37"/>
      <c r="E353" s="37"/>
      <c r="F353" s="37"/>
      <c r="G353" s="36" t="e">
        <f>K353</f>
        <v>#REF!</v>
      </c>
      <c r="H353" s="36"/>
      <c r="I353" s="36"/>
      <c r="J353" s="36"/>
      <c r="K353" s="36" t="e">
        <f>SUM(K348:K351)</f>
        <v>#REF!</v>
      </c>
      <c r="L353" s="36"/>
      <c r="M353" s="36"/>
      <c r="N353" s="36"/>
      <c r="O353" s="36">
        <f>SUM(O348:O352)</f>
        <v>202495233</v>
      </c>
      <c r="P353" s="36">
        <f>SUM(P348:P352)</f>
        <v>268684995.39999998</v>
      </c>
      <c r="Q353" s="36"/>
      <c r="R353" s="35">
        <f>SUM(R348:R350)</f>
        <v>227925366.13999999</v>
      </c>
      <c r="S353" s="35"/>
      <c r="T353" s="35">
        <f>SUM(T348:T350)</f>
        <v>231475919</v>
      </c>
      <c r="U353" s="87"/>
    </row>
    <row r="354" spans="3:23" x14ac:dyDescent="0.25">
      <c r="C354" s="34"/>
      <c r="D354" s="33"/>
      <c r="E354" s="33"/>
      <c r="F354" s="33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1"/>
      <c r="S354" s="31"/>
      <c r="T354" s="30"/>
      <c r="U354" s="29"/>
    </row>
    <row r="355" spans="3:23" x14ac:dyDescent="0.25">
      <c r="C355" s="28"/>
      <c r="D355" s="15"/>
      <c r="E355" s="15"/>
      <c r="F355" s="15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3"/>
      <c r="S355" s="13"/>
      <c r="U355" s="27"/>
    </row>
    <row r="356" spans="3:23" ht="15.75" thickBot="1" x14ac:dyDescent="0.3">
      <c r="C356" s="26" t="s">
        <v>388</v>
      </c>
      <c r="D356" s="25"/>
      <c r="E356" s="25"/>
      <c r="F356" s="25"/>
      <c r="G356" s="24"/>
      <c r="H356" s="24"/>
      <c r="I356" s="24"/>
      <c r="J356" s="24"/>
      <c r="K356" s="24"/>
      <c r="L356" s="24"/>
      <c r="M356" s="24"/>
      <c r="N356" s="24"/>
      <c r="O356" s="24">
        <v>1000000</v>
      </c>
      <c r="P356" s="24">
        <v>1000000</v>
      </c>
      <c r="Q356" s="24"/>
      <c r="R356" s="23"/>
      <c r="S356" s="23"/>
      <c r="T356" s="22"/>
      <c r="U356" s="21"/>
    </row>
    <row r="357" spans="3:23" x14ac:dyDescent="0.25">
      <c r="C357" s="16"/>
      <c r="D357" s="20"/>
      <c r="E357" s="20"/>
      <c r="F357" s="20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8"/>
      <c r="S357" s="18"/>
      <c r="T357" s="17"/>
      <c r="U357" s="16"/>
    </row>
    <row r="358" spans="3:23" x14ac:dyDescent="0.25">
      <c r="C358" s="2" t="s">
        <v>389</v>
      </c>
      <c r="D358" s="15"/>
      <c r="E358" s="15"/>
      <c r="F358" s="15"/>
      <c r="G358" s="14">
        <v>0</v>
      </c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3"/>
      <c r="S358" s="13"/>
    </row>
    <row r="359" spans="3:23" x14ac:dyDescent="0.25">
      <c r="C359" s="2"/>
      <c r="D359" s="15"/>
      <c r="E359" s="15"/>
      <c r="F359" s="15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3"/>
      <c r="S359" s="13"/>
    </row>
    <row r="360" spans="3:23" x14ac:dyDescent="0.25">
      <c r="C360" s="2"/>
      <c r="D360" s="15"/>
      <c r="E360" s="15"/>
      <c r="F360" s="15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3"/>
      <c r="S360" s="13"/>
    </row>
    <row r="361" spans="3:23" s="8" customFormat="1" x14ac:dyDescent="0.25">
      <c r="C361" s="10" t="s">
        <v>390</v>
      </c>
      <c r="D361" s="12"/>
      <c r="E361" s="12"/>
      <c r="F361" s="12"/>
      <c r="G361" s="11" t="e">
        <f>I361+J361+K361+L361</f>
        <v>#REF!</v>
      </c>
      <c r="H361" s="11"/>
      <c r="I361" s="11"/>
      <c r="J361" s="11"/>
      <c r="K361" s="11" t="e">
        <f>K353</f>
        <v>#REF!</v>
      </c>
      <c r="L361" s="11">
        <f>L356</f>
        <v>0</v>
      </c>
      <c r="M361" s="11"/>
      <c r="N361" s="11"/>
      <c r="O361" s="11">
        <f>SUM(O353+O356)</f>
        <v>203495233</v>
      </c>
      <c r="P361" s="11">
        <f>SUM(P353+P356)</f>
        <v>269684995.39999998</v>
      </c>
      <c r="Q361" s="11">
        <f t="shared" ref="Q361:T361" si="16">SUM(Q353+Q356)</f>
        <v>0</v>
      </c>
      <c r="R361" s="11">
        <f t="shared" si="16"/>
        <v>227925366.13999999</v>
      </c>
      <c r="S361" s="11">
        <f t="shared" si="16"/>
        <v>0</v>
      </c>
      <c r="T361" s="11">
        <f t="shared" si="16"/>
        <v>231475919</v>
      </c>
      <c r="U361" s="10"/>
      <c r="W361" s="9"/>
    </row>
    <row r="362" spans="3:23" x14ac:dyDescent="0.25">
      <c r="T362" s="7"/>
      <c r="U362" s="6"/>
    </row>
    <row r="363" spans="3:23" x14ac:dyDescent="0.25">
      <c r="T363" s="7"/>
      <c r="U363" s="6"/>
    </row>
    <row r="364" spans="3:23" x14ac:dyDescent="0.25">
      <c r="T364" s="7"/>
      <c r="U364" s="6"/>
    </row>
    <row r="365" spans="3:23" x14ac:dyDescent="0.25">
      <c r="T365" s="7"/>
      <c r="U365" s="6"/>
    </row>
    <row r="366" spans="3:23" x14ac:dyDescent="0.25">
      <c r="T366" s="7"/>
      <c r="U366" s="6"/>
    </row>
    <row r="367" spans="3:23" x14ac:dyDescent="0.25">
      <c r="T367" s="7"/>
      <c r="U367" s="6"/>
    </row>
    <row r="368" spans="3:23" x14ac:dyDescent="0.25">
      <c r="T368" s="7"/>
      <c r="U368" s="6"/>
    </row>
    <row r="369" spans="20:21" x14ac:dyDescent="0.25">
      <c r="T369" s="7"/>
      <c r="U369" s="6"/>
    </row>
    <row r="370" spans="20:21" x14ac:dyDescent="0.25">
      <c r="T370" s="7"/>
      <c r="U370" s="6"/>
    </row>
    <row r="371" spans="20:21" x14ac:dyDescent="0.25">
      <c r="T371" s="7"/>
      <c r="U371" s="6"/>
    </row>
    <row r="372" spans="20:21" x14ac:dyDescent="0.25">
      <c r="T372" s="7"/>
      <c r="U372" s="6"/>
    </row>
    <row r="373" spans="20:21" x14ac:dyDescent="0.25">
      <c r="T373" s="7"/>
      <c r="U373" s="6"/>
    </row>
    <row r="374" spans="20:21" x14ac:dyDescent="0.25">
      <c r="T374" s="7"/>
      <c r="U374" s="6"/>
    </row>
    <row r="375" spans="20:21" x14ac:dyDescent="0.25">
      <c r="T375" s="7"/>
      <c r="U375" s="6"/>
    </row>
    <row r="376" spans="20:21" x14ac:dyDescent="0.25">
      <c r="T376" s="7"/>
      <c r="U376" s="6"/>
    </row>
    <row r="377" spans="20:21" x14ac:dyDescent="0.25">
      <c r="T377" s="7"/>
      <c r="U377" s="6"/>
    </row>
    <row r="378" spans="20:21" x14ac:dyDescent="0.25">
      <c r="T378" s="7"/>
      <c r="U378" s="6"/>
    </row>
    <row r="379" spans="20:21" x14ac:dyDescent="0.25">
      <c r="T379" s="7"/>
      <c r="U379" s="6"/>
    </row>
    <row r="380" spans="20:21" x14ac:dyDescent="0.25">
      <c r="T380" s="7"/>
      <c r="U380" s="6"/>
    </row>
    <row r="381" spans="20:21" x14ac:dyDescent="0.25">
      <c r="T381" s="7"/>
      <c r="U381" s="6"/>
    </row>
    <row r="382" spans="20:21" x14ac:dyDescent="0.25">
      <c r="T382" s="7"/>
      <c r="U382" s="6"/>
    </row>
    <row r="383" spans="20:21" x14ac:dyDescent="0.25">
      <c r="T383" s="7"/>
      <c r="U383" s="6"/>
    </row>
    <row r="384" spans="20:21" x14ac:dyDescent="0.25">
      <c r="T384" s="7"/>
      <c r="U384" s="6"/>
    </row>
    <row r="385" spans="20:21" x14ac:dyDescent="0.25">
      <c r="T385" s="7"/>
      <c r="U385" s="6"/>
    </row>
    <row r="386" spans="20:21" x14ac:dyDescent="0.25">
      <c r="T386" s="7"/>
      <c r="U386" s="6"/>
    </row>
    <row r="387" spans="20:21" x14ac:dyDescent="0.25">
      <c r="T387" s="7"/>
      <c r="U387" s="6"/>
    </row>
    <row r="388" spans="20:21" x14ac:dyDescent="0.25">
      <c r="T388" s="7"/>
      <c r="U388" s="6"/>
    </row>
    <row r="389" spans="20:21" x14ac:dyDescent="0.25">
      <c r="T389" s="7"/>
      <c r="U389" s="6"/>
    </row>
    <row r="390" spans="20:21" x14ac:dyDescent="0.25">
      <c r="T390" s="7"/>
      <c r="U390" s="6"/>
    </row>
    <row r="391" spans="20:21" x14ac:dyDescent="0.25">
      <c r="T391" s="7"/>
      <c r="U391" s="6"/>
    </row>
    <row r="392" spans="20:21" x14ac:dyDescent="0.25">
      <c r="T392" s="7"/>
      <c r="U392" s="6"/>
    </row>
    <row r="393" spans="20:21" x14ac:dyDescent="0.25">
      <c r="T393" s="7"/>
      <c r="U393" s="6"/>
    </row>
    <row r="394" spans="20:21" x14ac:dyDescent="0.25">
      <c r="T394" s="7"/>
      <c r="U394" s="6"/>
    </row>
    <row r="395" spans="20:21" x14ac:dyDescent="0.25">
      <c r="T395" s="7"/>
      <c r="U395" s="6"/>
    </row>
    <row r="396" spans="20:21" x14ac:dyDescent="0.25">
      <c r="T396" s="7"/>
      <c r="U396" s="6"/>
    </row>
    <row r="397" spans="20:21" x14ac:dyDescent="0.25">
      <c r="T397" s="7"/>
      <c r="U397" s="6"/>
    </row>
    <row r="398" spans="20:21" x14ac:dyDescent="0.25">
      <c r="T398" s="7"/>
      <c r="U398" s="6"/>
    </row>
    <row r="399" spans="20:21" x14ac:dyDescent="0.25">
      <c r="T399" s="7"/>
      <c r="U399" s="6"/>
    </row>
    <row r="400" spans="20:21" x14ac:dyDescent="0.25">
      <c r="T400" s="7"/>
      <c r="U400" s="6"/>
    </row>
    <row r="401" spans="20:21" x14ac:dyDescent="0.25">
      <c r="T401" s="7"/>
      <c r="U401" s="6"/>
    </row>
    <row r="402" spans="20:21" x14ac:dyDescent="0.25">
      <c r="T402" s="7"/>
      <c r="U402" s="6"/>
    </row>
    <row r="403" spans="20:21" x14ac:dyDescent="0.25">
      <c r="T403" s="7"/>
      <c r="U403" s="6"/>
    </row>
    <row r="404" spans="20:21" x14ac:dyDescent="0.25">
      <c r="T404" s="7"/>
      <c r="U404" s="6"/>
    </row>
    <row r="405" spans="20:21" x14ac:dyDescent="0.25">
      <c r="T405" s="7"/>
      <c r="U405" s="6"/>
    </row>
    <row r="406" spans="20:21" x14ac:dyDescent="0.25">
      <c r="T406" s="7"/>
      <c r="U406" s="6"/>
    </row>
    <row r="407" spans="20:21" x14ac:dyDescent="0.25">
      <c r="T407" s="7"/>
      <c r="U407" s="6"/>
    </row>
    <row r="408" spans="20:21" x14ac:dyDescent="0.25">
      <c r="T408" s="7"/>
      <c r="U408" s="6"/>
    </row>
    <row r="409" spans="20:21" x14ac:dyDescent="0.25">
      <c r="T409" s="7"/>
      <c r="U409" s="6"/>
    </row>
    <row r="410" spans="20:21" x14ac:dyDescent="0.25">
      <c r="T410" s="7"/>
      <c r="U410" s="6"/>
    </row>
    <row r="411" spans="20:21" x14ac:dyDescent="0.25">
      <c r="T411" s="7"/>
      <c r="U411" s="6"/>
    </row>
    <row r="412" spans="20:21" x14ac:dyDescent="0.25">
      <c r="T412" s="7"/>
      <c r="U412" s="6"/>
    </row>
    <row r="413" spans="20:21" x14ac:dyDescent="0.25">
      <c r="T413" s="7"/>
      <c r="U413" s="6"/>
    </row>
    <row r="414" spans="20:21" x14ac:dyDescent="0.25">
      <c r="T414" s="7"/>
      <c r="U414" s="6"/>
    </row>
    <row r="415" spans="20:21" x14ac:dyDescent="0.25">
      <c r="T415" s="7"/>
      <c r="U415" s="6"/>
    </row>
    <row r="416" spans="20:21" x14ac:dyDescent="0.25">
      <c r="T416" s="7"/>
      <c r="U416" s="6"/>
    </row>
    <row r="417" spans="20:21" x14ac:dyDescent="0.25">
      <c r="T417" s="7"/>
      <c r="U417" s="6"/>
    </row>
    <row r="418" spans="20:21" x14ac:dyDescent="0.25">
      <c r="T418" s="7"/>
      <c r="U418" s="6"/>
    </row>
    <row r="419" spans="20:21" x14ac:dyDescent="0.25">
      <c r="T419" s="7"/>
      <c r="U419" s="6"/>
    </row>
    <row r="420" spans="20:21" x14ac:dyDescent="0.25">
      <c r="T420" s="7"/>
      <c r="U420" s="6"/>
    </row>
    <row r="421" spans="20:21" x14ac:dyDescent="0.25">
      <c r="T421" s="7"/>
      <c r="U421" s="6"/>
    </row>
    <row r="422" spans="20:21" x14ac:dyDescent="0.25">
      <c r="T422" s="7"/>
      <c r="U422" s="6"/>
    </row>
    <row r="423" spans="20:21" x14ac:dyDescent="0.25">
      <c r="T423" s="7"/>
      <c r="U423" s="6"/>
    </row>
    <row r="424" spans="20:21" x14ac:dyDescent="0.25">
      <c r="T424" s="7"/>
      <c r="U424" s="6"/>
    </row>
    <row r="425" spans="20:21" x14ac:dyDescent="0.25">
      <c r="T425" s="7"/>
      <c r="U425" s="6"/>
    </row>
    <row r="426" spans="20:21" x14ac:dyDescent="0.25">
      <c r="T426" s="7"/>
      <c r="U426" s="6"/>
    </row>
    <row r="427" spans="20:21" x14ac:dyDescent="0.25">
      <c r="T427" s="7"/>
      <c r="U427" s="6"/>
    </row>
    <row r="428" spans="20:21" x14ac:dyDescent="0.25">
      <c r="T428" s="7"/>
      <c r="U428" s="6"/>
    </row>
    <row r="429" spans="20:21" x14ac:dyDescent="0.25">
      <c r="T429" s="7"/>
      <c r="U429" s="6"/>
    </row>
    <row r="430" spans="20:21" x14ac:dyDescent="0.25">
      <c r="T430" s="7"/>
      <c r="U430" s="6"/>
    </row>
    <row r="431" spans="20:21" x14ac:dyDescent="0.25">
      <c r="T431" s="7"/>
      <c r="U431" s="6"/>
    </row>
    <row r="432" spans="20:21" x14ac:dyDescent="0.25">
      <c r="T432" s="7"/>
      <c r="U432" s="6"/>
    </row>
    <row r="433" spans="20:21" x14ac:dyDescent="0.25">
      <c r="T433" s="7"/>
      <c r="U433" s="6"/>
    </row>
    <row r="434" spans="20:21" x14ac:dyDescent="0.25">
      <c r="T434" s="7"/>
      <c r="U434" s="6"/>
    </row>
    <row r="435" spans="20:21" x14ac:dyDescent="0.25">
      <c r="T435" s="7"/>
      <c r="U435" s="6"/>
    </row>
    <row r="436" spans="20:21" x14ac:dyDescent="0.25">
      <c r="T436" s="7"/>
      <c r="U436" s="6"/>
    </row>
    <row r="437" spans="20:21" x14ac:dyDescent="0.25">
      <c r="T437" s="7"/>
      <c r="U437" s="6"/>
    </row>
    <row r="438" spans="20:21" x14ac:dyDescent="0.25">
      <c r="T438" s="7"/>
      <c r="U438" s="6"/>
    </row>
    <row r="439" spans="20:21" x14ac:dyDescent="0.25">
      <c r="T439" s="7"/>
      <c r="U439" s="6"/>
    </row>
    <row r="440" spans="20:21" x14ac:dyDescent="0.25">
      <c r="T440" s="7"/>
      <c r="U440" s="6"/>
    </row>
    <row r="441" spans="20:21" x14ac:dyDescent="0.25">
      <c r="T441" s="7"/>
      <c r="U441" s="6"/>
    </row>
    <row r="442" spans="20:21" x14ac:dyDescent="0.25">
      <c r="T442" s="7"/>
      <c r="U442" s="6"/>
    </row>
    <row r="443" spans="20:21" x14ac:dyDescent="0.25">
      <c r="T443" s="7"/>
      <c r="U443" s="6"/>
    </row>
    <row r="444" spans="20:21" x14ac:dyDescent="0.25">
      <c r="T444" s="7"/>
      <c r="U444" s="6"/>
    </row>
    <row r="445" spans="20:21" x14ac:dyDescent="0.25">
      <c r="T445" s="7"/>
      <c r="U445" s="6"/>
    </row>
    <row r="446" spans="20:21" x14ac:dyDescent="0.25">
      <c r="T446" s="7"/>
      <c r="U446" s="6"/>
    </row>
    <row r="447" spans="20:21" x14ac:dyDescent="0.25">
      <c r="T447" s="7"/>
      <c r="U447" s="6"/>
    </row>
    <row r="448" spans="20:21" x14ac:dyDescent="0.25">
      <c r="T448" s="7"/>
      <c r="U448" s="6"/>
    </row>
    <row r="449" spans="20:21" x14ac:dyDescent="0.25">
      <c r="T449" s="7"/>
      <c r="U449" s="6"/>
    </row>
    <row r="450" spans="20:21" x14ac:dyDescent="0.25">
      <c r="T450" s="7"/>
      <c r="U450" s="6"/>
    </row>
    <row r="451" spans="20:21" x14ac:dyDescent="0.25">
      <c r="T451" s="7"/>
      <c r="U451" s="6"/>
    </row>
    <row r="452" spans="20:21" x14ac:dyDescent="0.25">
      <c r="T452" s="7"/>
      <c r="U452" s="6"/>
    </row>
    <row r="453" spans="20:21" x14ac:dyDescent="0.25">
      <c r="T453" s="7"/>
      <c r="U453" s="6"/>
    </row>
    <row r="454" spans="20:21" x14ac:dyDescent="0.25">
      <c r="T454" s="7"/>
      <c r="U454" s="6"/>
    </row>
    <row r="455" spans="20:21" x14ac:dyDescent="0.25">
      <c r="T455" s="7"/>
      <c r="U455" s="6"/>
    </row>
    <row r="456" spans="20:21" x14ac:dyDescent="0.25">
      <c r="T456" s="7"/>
      <c r="U456" s="6"/>
    </row>
    <row r="457" spans="20:21" x14ac:dyDescent="0.25">
      <c r="T457" s="7"/>
      <c r="U457" s="6"/>
    </row>
    <row r="458" spans="20:21" x14ac:dyDescent="0.25">
      <c r="T458" s="7"/>
      <c r="U458" s="6"/>
    </row>
    <row r="459" spans="20:21" x14ac:dyDescent="0.25">
      <c r="T459" s="7"/>
      <c r="U459" s="6"/>
    </row>
    <row r="460" spans="20:21" x14ac:dyDescent="0.25">
      <c r="T460" s="7"/>
      <c r="U460" s="6"/>
    </row>
    <row r="461" spans="20:21" x14ac:dyDescent="0.25">
      <c r="T461" s="7"/>
      <c r="U461" s="6"/>
    </row>
    <row r="462" spans="20:21" x14ac:dyDescent="0.25">
      <c r="T462" s="7"/>
      <c r="U462" s="6"/>
    </row>
    <row r="463" spans="20:21" x14ac:dyDescent="0.25">
      <c r="T463" s="7"/>
      <c r="U463" s="6"/>
    </row>
    <row r="464" spans="20:21" x14ac:dyDescent="0.25">
      <c r="T464" s="7"/>
      <c r="U464" s="6"/>
    </row>
    <row r="465" spans="20:21" x14ac:dyDescent="0.25">
      <c r="T465" s="7"/>
      <c r="U465" s="6"/>
    </row>
    <row r="466" spans="20:21" x14ac:dyDescent="0.25">
      <c r="T466" s="7"/>
      <c r="U466" s="6"/>
    </row>
    <row r="467" spans="20:21" x14ac:dyDescent="0.25">
      <c r="T467" s="7"/>
      <c r="U467" s="6"/>
    </row>
    <row r="468" spans="20:21" x14ac:dyDescent="0.25">
      <c r="T468" s="7"/>
      <c r="U468" s="6"/>
    </row>
    <row r="469" spans="20:21" x14ac:dyDescent="0.25">
      <c r="T469" s="7"/>
      <c r="U469" s="6"/>
    </row>
    <row r="470" spans="20:21" x14ac:dyDescent="0.25">
      <c r="T470" s="7"/>
      <c r="U470" s="6"/>
    </row>
    <row r="471" spans="20:21" x14ac:dyDescent="0.25">
      <c r="T471" s="7"/>
      <c r="U471" s="6"/>
    </row>
    <row r="472" spans="20:21" x14ac:dyDescent="0.25">
      <c r="T472" s="7"/>
      <c r="U472" s="6"/>
    </row>
    <row r="473" spans="20:21" x14ac:dyDescent="0.25">
      <c r="T473" s="7"/>
      <c r="U473" s="6"/>
    </row>
    <row r="474" spans="20:21" x14ac:dyDescent="0.25">
      <c r="T474" s="7"/>
      <c r="U474" s="6"/>
    </row>
    <row r="475" spans="20:21" x14ac:dyDescent="0.25">
      <c r="T475" s="7"/>
      <c r="U475" s="6"/>
    </row>
    <row r="476" spans="20:21" x14ac:dyDescent="0.25">
      <c r="T476" s="7"/>
      <c r="U476" s="6"/>
    </row>
    <row r="477" spans="20:21" x14ac:dyDescent="0.25">
      <c r="T477" s="7"/>
      <c r="U477" s="6"/>
    </row>
    <row r="478" spans="20:21" x14ac:dyDescent="0.25">
      <c r="T478" s="7"/>
      <c r="U478" s="6"/>
    </row>
    <row r="479" spans="20:21" x14ac:dyDescent="0.25">
      <c r="T479" s="7"/>
      <c r="U479" s="6"/>
    </row>
    <row r="480" spans="20:21" x14ac:dyDescent="0.25">
      <c r="T480" s="7"/>
      <c r="U480" s="6"/>
    </row>
    <row r="481" spans="20:21" x14ac:dyDescent="0.25">
      <c r="T481" s="7"/>
      <c r="U481" s="6"/>
    </row>
    <row r="482" spans="20:21" x14ac:dyDescent="0.25">
      <c r="T482" s="7"/>
      <c r="U482" s="6"/>
    </row>
    <row r="483" spans="20:21" x14ac:dyDescent="0.25">
      <c r="T483" s="7"/>
      <c r="U483" s="6"/>
    </row>
    <row r="484" spans="20:21" x14ac:dyDescent="0.25">
      <c r="T484" s="7"/>
      <c r="U484" s="6"/>
    </row>
    <row r="485" spans="20:21" x14ac:dyDescent="0.25">
      <c r="T485" s="7"/>
      <c r="U485" s="6"/>
    </row>
    <row r="486" spans="20:21" x14ac:dyDescent="0.25">
      <c r="T486" s="7"/>
      <c r="U486" s="6"/>
    </row>
    <row r="487" spans="20:21" x14ac:dyDescent="0.25">
      <c r="T487" s="7"/>
      <c r="U487" s="6"/>
    </row>
    <row r="488" spans="20:21" x14ac:dyDescent="0.25">
      <c r="T488" s="7"/>
      <c r="U488" s="6"/>
    </row>
    <row r="489" spans="20:21" x14ac:dyDescent="0.25">
      <c r="T489" s="7"/>
      <c r="U489" s="6"/>
    </row>
    <row r="490" spans="20:21" x14ac:dyDescent="0.25">
      <c r="T490" s="7"/>
      <c r="U490" s="6"/>
    </row>
    <row r="491" spans="20:21" x14ac:dyDescent="0.25">
      <c r="T491" s="7"/>
      <c r="U491" s="6"/>
    </row>
    <row r="492" spans="20:21" x14ac:dyDescent="0.25">
      <c r="T492" s="7"/>
      <c r="U492" s="6"/>
    </row>
    <row r="493" spans="20:21" x14ac:dyDescent="0.25">
      <c r="T493" s="7"/>
      <c r="U493" s="6"/>
    </row>
    <row r="494" spans="20:21" x14ac:dyDescent="0.25">
      <c r="T494" s="7"/>
      <c r="U494" s="6"/>
    </row>
    <row r="495" spans="20:21" x14ac:dyDescent="0.25">
      <c r="T495" s="7"/>
      <c r="U495" s="6"/>
    </row>
    <row r="496" spans="20:21" x14ac:dyDescent="0.25">
      <c r="T496" s="7"/>
      <c r="U496" s="6"/>
    </row>
    <row r="497" spans="20:21" x14ac:dyDescent="0.25">
      <c r="T497" s="7"/>
      <c r="U497" s="6"/>
    </row>
    <row r="498" spans="20:21" x14ac:dyDescent="0.25">
      <c r="T498" s="7"/>
      <c r="U498" s="6"/>
    </row>
    <row r="499" spans="20:21" x14ac:dyDescent="0.25">
      <c r="T499" s="7"/>
      <c r="U499" s="6"/>
    </row>
    <row r="500" spans="20:21" x14ac:dyDescent="0.25">
      <c r="T500" s="7"/>
      <c r="U500" s="6"/>
    </row>
    <row r="501" spans="20:21" x14ac:dyDescent="0.25">
      <c r="T501" s="7"/>
      <c r="U501" s="6"/>
    </row>
    <row r="502" spans="20:21" x14ac:dyDescent="0.25">
      <c r="T502" s="7"/>
      <c r="U502" s="6"/>
    </row>
    <row r="503" spans="20:21" x14ac:dyDescent="0.25">
      <c r="T503" s="7"/>
      <c r="U503" s="6"/>
    </row>
    <row r="504" spans="20:21" x14ac:dyDescent="0.25">
      <c r="T504" s="7"/>
      <c r="U504" s="6"/>
    </row>
    <row r="505" spans="20:21" x14ac:dyDescent="0.25">
      <c r="T505" s="7"/>
      <c r="U505" s="6"/>
    </row>
    <row r="506" spans="20:21" x14ac:dyDescent="0.25">
      <c r="T506" s="7"/>
      <c r="U506" s="6"/>
    </row>
    <row r="507" spans="20:21" x14ac:dyDescent="0.25">
      <c r="T507" s="7"/>
      <c r="U507" s="6"/>
    </row>
    <row r="508" spans="20:21" x14ac:dyDescent="0.25">
      <c r="T508" s="7"/>
      <c r="U508" s="6"/>
    </row>
    <row r="509" spans="20:21" x14ac:dyDescent="0.25">
      <c r="T509" s="7"/>
      <c r="U509" s="6"/>
    </row>
    <row r="510" spans="20:21" x14ac:dyDescent="0.25">
      <c r="T510" s="7"/>
      <c r="U510" s="6"/>
    </row>
    <row r="511" spans="20:21" x14ac:dyDescent="0.25">
      <c r="T511" s="7"/>
      <c r="U511" s="6"/>
    </row>
    <row r="512" spans="20:21" x14ac:dyDescent="0.25">
      <c r="T512" s="7"/>
      <c r="U512" s="6"/>
    </row>
    <row r="513" spans="20:21" x14ac:dyDescent="0.25">
      <c r="T513" s="7"/>
      <c r="U513" s="6"/>
    </row>
    <row r="514" spans="20:21" x14ac:dyDescent="0.25">
      <c r="T514" s="7"/>
      <c r="U514" s="6"/>
    </row>
    <row r="515" spans="20:21" x14ac:dyDescent="0.25">
      <c r="T515" s="7"/>
      <c r="U515" s="6"/>
    </row>
    <row r="516" spans="20:21" x14ac:dyDescent="0.25">
      <c r="T516" s="7"/>
      <c r="U516" s="6"/>
    </row>
    <row r="517" spans="20:21" x14ac:dyDescent="0.25">
      <c r="T517" s="7"/>
      <c r="U517" s="6"/>
    </row>
    <row r="518" spans="20:21" x14ac:dyDescent="0.25">
      <c r="T518" s="7"/>
      <c r="U518" s="6"/>
    </row>
    <row r="519" spans="20:21" x14ac:dyDescent="0.25">
      <c r="T519" s="7"/>
      <c r="U519" s="6"/>
    </row>
    <row r="520" spans="20:21" x14ac:dyDescent="0.25">
      <c r="T520" s="7"/>
      <c r="U520" s="6"/>
    </row>
    <row r="521" spans="20:21" x14ac:dyDescent="0.25">
      <c r="T521" s="7"/>
      <c r="U521" s="6"/>
    </row>
    <row r="522" spans="20:21" x14ac:dyDescent="0.25">
      <c r="T522" s="7"/>
      <c r="U522" s="6"/>
    </row>
    <row r="523" spans="20:21" x14ac:dyDescent="0.25">
      <c r="T523" s="7"/>
      <c r="U523" s="6"/>
    </row>
    <row r="524" spans="20:21" x14ac:dyDescent="0.25">
      <c r="T524" s="7"/>
      <c r="U524" s="6"/>
    </row>
    <row r="525" spans="20:21" x14ac:dyDescent="0.25">
      <c r="T525" s="7"/>
      <c r="U525" s="6"/>
    </row>
    <row r="526" spans="20:21" x14ac:dyDescent="0.25">
      <c r="T526" s="7"/>
      <c r="U526" s="6"/>
    </row>
    <row r="527" spans="20:21" x14ac:dyDescent="0.25">
      <c r="T527" s="7"/>
      <c r="U527" s="6"/>
    </row>
    <row r="528" spans="20:21" x14ac:dyDescent="0.25">
      <c r="T528" s="7"/>
      <c r="U528" s="6"/>
    </row>
    <row r="529" spans="20:21" x14ac:dyDescent="0.25">
      <c r="T529" s="7"/>
      <c r="U529" s="6"/>
    </row>
    <row r="530" spans="20:21" x14ac:dyDescent="0.25">
      <c r="T530" s="7"/>
      <c r="U530" s="6"/>
    </row>
    <row r="531" spans="20:21" x14ac:dyDescent="0.25">
      <c r="T531" s="7"/>
      <c r="U531" s="6"/>
    </row>
    <row r="532" spans="20:21" x14ac:dyDescent="0.25">
      <c r="T532" s="7"/>
      <c r="U532" s="6"/>
    </row>
    <row r="533" spans="20:21" x14ac:dyDescent="0.25">
      <c r="T533" s="7"/>
      <c r="U533" s="6"/>
    </row>
    <row r="534" spans="20:21" x14ac:dyDescent="0.25">
      <c r="T534" s="7"/>
      <c r="U534" s="6"/>
    </row>
    <row r="535" spans="20:21" x14ac:dyDescent="0.25">
      <c r="T535" s="7"/>
      <c r="U535" s="6"/>
    </row>
    <row r="536" spans="20:21" x14ac:dyDescent="0.25">
      <c r="T536" s="7"/>
      <c r="U536" s="6"/>
    </row>
    <row r="537" spans="20:21" x14ac:dyDescent="0.25">
      <c r="T537" s="7"/>
      <c r="U537" s="6"/>
    </row>
    <row r="538" spans="20:21" x14ac:dyDescent="0.25">
      <c r="T538" s="7"/>
      <c r="U538" s="6"/>
    </row>
    <row r="539" spans="20:21" x14ac:dyDescent="0.25">
      <c r="T539" s="7"/>
      <c r="U539" s="6"/>
    </row>
    <row r="540" spans="20:21" x14ac:dyDescent="0.25">
      <c r="T540" s="7"/>
      <c r="U540" s="6"/>
    </row>
    <row r="541" spans="20:21" x14ac:dyDescent="0.25">
      <c r="T541" s="7"/>
      <c r="U541" s="6"/>
    </row>
    <row r="542" spans="20:21" x14ac:dyDescent="0.25">
      <c r="T542" s="7"/>
      <c r="U542" s="6"/>
    </row>
    <row r="543" spans="20:21" x14ac:dyDescent="0.25">
      <c r="T543" s="7"/>
      <c r="U543" s="6"/>
    </row>
    <row r="544" spans="20:21" x14ac:dyDescent="0.25">
      <c r="T544" s="7"/>
      <c r="U544" s="6"/>
    </row>
    <row r="545" spans="20:21" x14ac:dyDescent="0.25">
      <c r="T545" s="7"/>
      <c r="U545" s="6"/>
    </row>
    <row r="546" spans="20:21" x14ac:dyDescent="0.25">
      <c r="T546" s="7"/>
      <c r="U546" s="6"/>
    </row>
    <row r="547" spans="20:21" x14ac:dyDescent="0.25">
      <c r="T547" s="7"/>
      <c r="U547" s="6"/>
    </row>
    <row r="548" spans="20:21" x14ac:dyDescent="0.25">
      <c r="T548" s="7"/>
      <c r="U548" s="6"/>
    </row>
    <row r="549" spans="20:21" x14ac:dyDescent="0.25">
      <c r="T549" s="7"/>
      <c r="U549" s="6"/>
    </row>
    <row r="550" spans="20:21" x14ac:dyDescent="0.25">
      <c r="T550" s="7"/>
      <c r="U550" s="6"/>
    </row>
    <row r="551" spans="20:21" x14ac:dyDescent="0.25">
      <c r="T551" s="7"/>
      <c r="U551" s="6"/>
    </row>
    <row r="552" spans="20:21" x14ac:dyDescent="0.25">
      <c r="T552" s="7"/>
      <c r="U552" s="6"/>
    </row>
    <row r="553" spans="20:21" x14ac:dyDescent="0.25">
      <c r="T553" s="7"/>
      <c r="U553" s="6"/>
    </row>
    <row r="554" spans="20:21" x14ac:dyDescent="0.25">
      <c r="T554" s="7"/>
      <c r="U554" s="6"/>
    </row>
    <row r="555" spans="20:21" x14ac:dyDescent="0.25">
      <c r="T555" s="7"/>
      <c r="U555" s="6"/>
    </row>
    <row r="556" spans="20:21" x14ac:dyDescent="0.25">
      <c r="T556" s="7"/>
      <c r="U556" s="6"/>
    </row>
    <row r="557" spans="20:21" x14ac:dyDescent="0.25">
      <c r="T557" s="7"/>
      <c r="U557" s="6"/>
    </row>
    <row r="558" spans="20:21" x14ac:dyDescent="0.25">
      <c r="T558" s="7"/>
      <c r="U558" s="6"/>
    </row>
    <row r="559" spans="20:21" x14ac:dyDescent="0.25">
      <c r="T559" s="7"/>
      <c r="U559" s="6"/>
    </row>
    <row r="560" spans="20:21" x14ac:dyDescent="0.25">
      <c r="T560" s="7"/>
      <c r="U560" s="6"/>
    </row>
    <row r="561" spans="20:21" x14ac:dyDescent="0.25">
      <c r="T561" s="7"/>
      <c r="U561" s="6"/>
    </row>
    <row r="562" spans="20:21" x14ac:dyDescent="0.25">
      <c r="T562" s="7"/>
      <c r="U562" s="6"/>
    </row>
    <row r="563" spans="20:21" x14ac:dyDescent="0.25">
      <c r="T563" s="7"/>
      <c r="U563" s="6"/>
    </row>
    <row r="564" spans="20:21" x14ac:dyDescent="0.25">
      <c r="T564" s="7"/>
      <c r="U564" s="6"/>
    </row>
    <row r="565" spans="20:21" x14ac:dyDescent="0.25">
      <c r="T565" s="7"/>
      <c r="U565" s="6"/>
    </row>
    <row r="566" spans="20:21" x14ac:dyDescent="0.25">
      <c r="T566" s="7"/>
      <c r="U566" s="6"/>
    </row>
    <row r="567" spans="20:21" x14ac:dyDescent="0.25">
      <c r="T567" s="7"/>
      <c r="U567" s="6"/>
    </row>
    <row r="568" spans="20:21" x14ac:dyDescent="0.25">
      <c r="T568" s="7"/>
      <c r="U568" s="6"/>
    </row>
    <row r="569" spans="20:21" x14ac:dyDescent="0.25">
      <c r="T569" s="7"/>
      <c r="U569" s="6"/>
    </row>
    <row r="570" spans="20:21" x14ac:dyDescent="0.25">
      <c r="T570" s="7"/>
      <c r="U570" s="6"/>
    </row>
    <row r="571" spans="20:21" x14ac:dyDescent="0.25">
      <c r="T571" s="7"/>
      <c r="U571" s="6"/>
    </row>
    <row r="572" spans="20:21" x14ac:dyDescent="0.25">
      <c r="T572" s="7"/>
      <c r="U572" s="6"/>
    </row>
    <row r="573" spans="20:21" x14ac:dyDescent="0.25">
      <c r="T573" s="7"/>
      <c r="U573" s="6"/>
    </row>
    <row r="574" spans="20:21" x14ac:dyDescent="0.25">
      <c r="T574" s="7"/>
      <c r="U574" s="6"/>
    </row>
    <row r="575" spans="20:21" x14ac:dyDescent="0.25">
      <c r="T575" s="7"/>
      <c r="U575" s="6"/>
    </row>
    <row r="576" spans="20:21" x14ac:dyDescent="0.25">
      <c r="T576" s="7"/>
      <c r="U576" s="6"/>
    </row>
    <row r="577" spans="20:21" x14ac:dyDescent="0.25">
      <c r="T577" s="7"/>
      <c r="U577" s="6"/>
    </row>
    <row r="578" spans="20:21" x14ac:dyDescent="0.25">
      <c r="T578" s="7"/>
      <c r="U578" s="6"/>
    </row>
    <row r="579" spans="20:21" x14ac:dyDescent="0.25">
      <c r="T579" s="7"/>
      <c r="U579" s="6"/>
    </row>
    <row r="580" spans="20:21" x14ac:dyDescent="0.25">
      <c r="T580" s="7"/>
      <c r="U580" s="6"/>
    </row>
    <row r="581" spans="20:21" x14ac:dyDescent="0.25">
      <c r="T581" s="7"/>
      <c r="U581" s="6"/>
    </row>
    <row r="582" spans="20:21" x14ac:dyDescent="0.25">
      <c r="T582" s="7"/>
      <c r="U582" s="6"/>
    </row>
    <row r="583" spans="20:21" x14ac:dyDescent="0.25">
      <c r="T583" s="7"/>
      <c r="U583" s="6"/>
    </row>
    <row r="584" spans="20:21" x14ac:dyDescent="0.25">
      <c r="T584" s="7"/>
      <c r="U584" s="6"/>
    </row>
    <row r="585" spans="20:21" x14ac:dyDescent="0.25">
      <c r="T585" s="7"/>
      <c r="U585" s="6"/>
    </row>
    <row r="586" spans="20:21" x14ac:dyDescent="0.25">
      <c r="T586" s="7"/>
      <c r="U586" s="6"/>
    </row>
    <row r="587" spans="20:21" x14ac:dyDescent="0.25">
      <c r="T587" s="7"/>
      <c r="U587" s="6"/>
    </row>
    <row r="588" spans="20:21" x14ac:dyDescent="0.25">
      <c r="T588" s="7"/>
      <c r="U588" s="6"/>
    </row>
    <row r="589" spans="20:21" x14ac:dyDescent="0.25">
      <c r="T589" s="7"/>
      <c r="U589" s="6"/>
    </row>
    <row r="590" spans="20:21" x14ac:dyDescent="0.25">
      <c r="T590" s="7"/>
      <c r="U590" s="6"/>
    </row>
    <row r="591" spans="20:21" x14ac:dyDescent="0.25">
      <c r="T591" s="7"/>
      <c r="U591" s="6"/>
    </row>
    <row r="592" spans="20:21" x14ac:dyDescent="0.25">
      <c r="T592" s="7"/>
      <c r="U592" s="6"/>
    </row>
    <row r="593" spans="20:21" x14ac:dyDescent="0.25">
      <c r="T593" s="7"/>
      <c r="U593" s="6"/>
    </row>
    <row r="594" spans="20:21" x14ac:dyDescent="0.25">
      <c r="T594" s="7"/>
      <c r="U594" s="6"/>
    </row>
    <row r="595" spans="20:21" x14ac:dyDescent="0.25">
      <c r="T595" s="7"/>
      <c r="U595" s="6"/>
    </row>
    <row r="596" spans="20:21" x14ac:dyDescent="0.25">
      <c r="T596" s="7"/>
      <c r="U596" s="6"/>
    </row>
    <row r="597" spans="20:21" x14ac:dyDescent="0.25">
      <c r="T597" s="7"/>
      <c r="U597" s="6"/>
    </row>
    <row r="598" spans="20:21" x14ac:dyDescent="0.25">
      <c r="T598" s="7"/>
      <c r="U598" s="6"/>
    </row>
    <row r="599" spans="20:21" x14ac:dyDescent="0.25">
      <c r="T599" s="7"/>
      <c r="U599" s="6"/>
    </row>
    <row r="600" spans="20:21" x14ac:dyDescent="0.25">
      <c r="T600" s="7"/>
      <c r="U600" s="6"/>
    </row>
    <row r="601" spans="20:21" x14ac:dyDescent="0.25">
      <c r="T601" s="7"/>
      <c r="U601" s="6"/>
    </row>
    <row r="602" spans="20:21" x14ac:dyDescent="0.25">
      <c r="T602" s="7"/>
      <c r="U602" s="6"/>
    </row>
    <row r="603" spans="20:21" x14ac:dyDescent="0.25">
      <c r="T603" s="7"/>
      <c r="U603" s="6"/>
    </row>
    <row r="604" spans="20:21" x14ac:dyDescent="0.25">
      <c r="T604" s="7"/>
      <c r="U604" s="6"/>
    </row>
    <row r="605" spans="20:21" x14ac:dyDescent="0.25">
      <c r="T605" s="7"/>
      <c r="U605" s="6"/>
    </row>
    <row r="606" spans="20:21" x14ac:dyDescent="0.25">
      <c r="T606" s="7"/>
      <c r="U606" s="6"/>
    </row>
    <row r="607" spans="20:21" x14ac:dyDescent="0.25">
      <c r="T607" s="7"/>
      <c r="U607" s="6"/>
    </row>
    <row r="608" spans="20:21" x14ac:dyDescent="0.25">
      <c r="T608" s="7"/>
      <c r="U608" s="6"/>
    </row>
    <row r="609" spans="20:21" x14ac:dyDescent="0.25">
      <c r="T609" s="7"/>
      <c r="U609" s="6"/>
    </row>
    <row r="610" spans="20:21" x14ac:dyDescent="0.25">
      <c r="T610" s="7"/>
      <c r="U610" s="6"/>
    </row>
    <row r="611" spans="20:21" x14ac:dyDescent="0.25">
      <c r="T611" s="7"/>
      <c r="U611" s="6"/>
    </row>
    <row r="612" spans="20:21" x14ac:dyDescent="0.25">
      <c r="T612" s="7"/>
      <c r="U612" s="6"/>
    </row>
    <row r="613" spans="20:21" x14ac:dyDescent="0.25">
      <c r="T613" s="7"/>
      <c r="U613" s="6"/>
    </row>
    <row r="614" spans="20:21" x14ac:dyDescent="0.25">
      <c r="T614" s="7"/>
      <c r="U614" s="6"/>
    </row>
    <row r="615" spans="20:21" x14ac:dyDescent="0.25">
      <c r="T615" s="7"/>
      <c r="U615" s="6"/>
    </row>
    <row r="616" spans="20:21" x14ac:dyDescent="0.25">
      <c r="T616" s="7"/>
      <c r="U616" s="6"/>
    </row>
    <row r="617" spans="20:21" x14ac:dyDescent="0.25">
      <c r="T617" s="7"/>
      <c r="U617" s="6"/>
    </row>
    <row r="618" spans="20:21" x14ac:dyDescent="0.25">
      <c r="T618" s="7"/>
      <c r="U618" s="6"/>
    </row>
    <row r="619" spans="20:21" x14ac:dyDescent="0.25">
      <c r="T619" s="7"/>
      <c r="U619" s="6"/>
    </row>
    <row r="620" spans="20:21" x14ac:dyDescent="0.25">
      <c r="T620" s="7"/>
      <c r="U620" s="6"/>
    </row>
    <row r="621" spans="20:21" x14ac:dyDescent="0.25">
      <c r="T621" s="7"/>
      <c r="U621" s="6"/>
    </row>
    <row r="622" spans="20:21" x14ac:dyDescent="0.25">
      <c r="T622" s="7"/>
      <c r="U622" s="6"/>
    </row>
    <row r="623" spans="20:21" x14ac:dyDescent="0.25">
      <c r="T623" s="7"/>
      <c r="U623" s="6"/>
    </row>
    <row r="624" spans="20:21" x14ac:dyDescent="0.25">
      <c r="T624" s="7"/>
      <c r="U624" s="6"/>
    </row>
    <row r="625" spans="20:21" x14ac:dyDescent="0.25">
      <c r="T625" s="7"/>
      <c r="U625" s="6"/>
    </row>
    <row r="626" spans="20:21" x14ac:dyDescent="0.25">
      <c r="T626" s="7"/>
      <c r="U626" s="6"/>
    </row>
    <row r="627" spans="20:21" x14ac:dyDescent="0.25">
      <c r="T627" s="7"/>
      <c r="U627" s="6"/>
    </row>
    <row r="628" spans="20:21" x14ac:dyDescent="0.25">
      <c r="T628" s="7"/>
      <c r="U628" s="6"/>
    </row>
    <row r="629" spans="20:21" x14ac:dyDescent="0.25">
      <c r="T629" s="7"/>
      <c r="U629" s="6"/>
    </row>
    <row r="630" spans="20:21" x14ac:dyDescent="0.25">
      <c r="T630" s="7"/>
      <c r="U630" s="6"/>
    </row>
    <row r="631" spans="20:21" x14ac:dyDescent="0.25">
      <c r="T631" s="7"/>
      <c r="U631" s="6"/>
    </row>
    <row r="632" spans="20:21" x14ac:dyDescent="0.25">
      <c r="T632" s="7"/>
      <c r="U632" s="6"/>
    </row>
    <row r="633" spans="20:21" x14ac:dyDescent="0.25">
      <c r="T633" s="7"/>
      <c r="U633" s="6"/>
    </row>
    <row r="634" spans="20:21" x14ac:dyDescent="0.25">
      <c r="T634" s="7"/>
      <c r="U634" s="6"/>
    </row>
    <row r="635" spans="20:21" x14ac:dyDescent="0.25">
      <c r="T635" s="7"/>
      <c r="U635" s="6"/>
    </row>
    <row r="636" spans="20:21" x14ac:dyDescent="0.25">
      <c r="T636" s="7"/>
      <c r="U636" s="6"/>
    </row>
    <row r="637" spans="20:21" x14ac:dyDescent="0.25">
      <c r="T637" s="7"/>
      <c r="U637" s="6"/>
    </row>
    <row r="638" spans="20:21" x14ac:dyDescent="0.25">
      <c r="T638" s="7"/>
      <c r="U638" s="6"/>
    </row>
    <row r="639" spans="20:21" x14ac:dyDescent="0.25">
      <c r="T639" s="7"/>
      <c r="U639" s="6"/>
    </row>
    <row r="640" spans="20:21" x14ac:dyDescent="0.25">
      <c r="T640" s="7"/>
      <c r="U640" s="6"/>
    </row>
    <row r="641" spans="20:21" x14ac:dyDescent="0.25">
      <c r="T641" s="7"/>
      <c r="U641" s="6"/>
    </row>
    <row r="642" spans="20:21" x14ac:dyDescent="0.25">
      <c r="T642" s="7"/>
      <c r="U642" s="6"/>
    </row>
    <row r="643" spans="20:21" x14ac:dyDescent="0.25">
      <c r="T643" s="7"/>
      <c r="U643" s="6"/>
    </row>
    <row r="644" spans="20:21" x14ac:dyDescent="0.25">
      <c r="T644" s="7"/>
      <c r="U644" s="6"/>
    </row>
    <row r="645" spans="20:21" x14ac:dyDescent="0.25">
      <c r="T645" s="7"/>
      <c r="U645" s="6"/>
    </row>
    <row r="646" spans="20:21" x14ac:dyDescent="0.25">
      <c r="T646" s="7"/>
      <c r="U646" s="6"/>
    </row>
    <row r="647" spans="20:21" x14ac:dyDescent="0.25">
      <c r="T647" s="7"/>
      <c r="U647" s="6"/>
    </row>
    <row r="648" spans="20:21" x14ac:dyDescent="0.25">
      <c r="T648" s="7"/>
      <c r="U648" s="6"/>
    </row>
    <row r="649" spans="20:21" x14ac:dyDescent="0.25">
      <c r="T649" s="7"/>
      <c r="U649" s="6"/>
    </row>
    <row r="650" spans="20:21" x14ac:dyDescent="0.25">
      <c r="T650" s="7"/>
      <c r="U650" s="6"/>
    </row>
    <row r="651" spans="20:21" x14ac:dyDescent="0.25">
      <c r="T651" s="7"/>
      <c r="U651" s="6"/>
    </row>
    <row r="652" spans="20:21" x14ac:dyDescent="0.25">
      <c r="T652" s="7"/>
      <c r="U652" s="6"/>
    </row>
    <row r="653" spans="20:21" x14ac:dyDescent="0.25">
      <c r="T653" s="7"/>
      <c r="U653" s="6"/>
    </row>
    <row r="654" spans="20:21" x14ac:dyDescent="0.25">
      <c r="T654" s="7"/>
      <c r="U654" s="6"/>
    </row>
    <row r="655" spans="20:21" x14ac:dyDescent="0.25">
      <c r="T655" s="7"/>
      <c r="U655" s="6"/>
    </row>
    <row r="656" spans="20:21" x14ac:dyDescent="0.25">
      <c r="T656" s="7"/>
      <c r="U656" s="6"/>
    </row>
  </sheetData>
  <mergeCells count="28">
    <mergeCell ref="B293:B323"/>
    <mergeCell ref="C336:R336"/>
    <mergeCell ref="C337:R337"/>
    <mergeCell ref="G339:L339"/>
    <mergeCell ref="G223:L223"/>
    <mergeCell ref="B232:B248"/>
    <mergeCell ref="B256:B275"/>
    <mergeCell ref="C278:R278"/>
    <mergeCell ref="C279:R279"/>
    <mergeCell ref="G281:L281"/>
    <mergeCell ref="C221:R221"/>
    <mergeCell ref="C45:R45"/>
    <mergeCell ref="G47:L47"/>
    <mergeCell ref="B104:B109"/>
    <mergeCell ref="C121:R121"/>
    <mergeCell ref="C122:R122"/>
    <mergeCell ref="G124:L124"/>
    <mergeCell ref="C167:R167"/>
    <mergeCell ref="C168:R168"/>
    <mergeCell ref="G170:L170"/>
    <mergeCell ref="B182:B211"/>
    <mergeCell ref="C220:R220"/>
    <mergeCell ref="C44:R44"/>
    <mergeCell ref="C1:R1"/>
    <mergeCell ref="C2:R2"/>
    <mergeCell ref="D5:S5"/>
    <mergeCell ref="D6:S6"/>
    <mergeCell ref="G9:L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6" manualBreakCount="6">
    <brk id="43" max="16383" man="1"/>
    <brk id="120" max="16383" man="1"/>
    <brk id="166" max="16383" man="1"/>
    <brk id="219" max="16383" man="1"/>
    <brk id="277" max="16383" man="1"/>
    <brk id="33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Adjusted Budget 2020-21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Boikanyo Maseloane</dc:creator>
  <cp:lastModifiedBy>Thembi Lebusa</cp:lastModifiedBy>
  <cp:lastPrinted>2020-01-31T11:26:46Z</cp:lastPrinted>
  <dcterms:created xsi:type="dcterms:W3CDTF">2020-01-21T06:28:27Z</dcterms:created>
  <dcterms:modified xsi:type="dcterms:W3CDTF">2021-02-25T13:53:11Z</dcterms:modified>
</cp:coreProperties>
</file>